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97" activeTab="0"/>
  </bookViews>
  <sheets>
    <sheet name="Input" sheetId="1" r:id="rId1"/>
    <sheet name="Report" sheetId="2" r:id="rId2"/>
    <sheet name="PL" sheetId="3" r:id="rId3"/>
    <sheet name="H1" sheetId="4" r:id="rId4"/>
    <sheet name="H2" sheetId="5" r:id="rId5"/>
    <sheet name="H3" sheetId="6" r:id="rId6"/>
    <sheet name="H4" sheetId="7" r:id="rId7"/>
    <sheet name="H5" sheetId="8" r:id="rId8"/>
    <sheet name="H6" sheetId="9" r:id="rId9"/>
    <sheet name="H7" sheetId="10" r:id="rId10"/>
    <sheet name="H8" sheetId="11" r:id="rId11"/>
    <sheet name="H9" sheetId="12" r:id="rId12"/>
    <sheet name="H10" sheetId="13" r:id="rId13"/>
    <sheet name="H11" sheetId="14" r:id="rId14"/>
    <sheet name="H12" sheetId="15" r:id="rId15"/>
    <sheet name="ABU" sheetId="16" r:id="rId16"/>
    <sheet name="Paulus" sheetId="17" r:id="rId17"/>
    <sheet name="Doro" sheetId="18" r:id="rId18"/>
    <sheet name="Mat" sheetId="19" r:id="rId19"/>
    <sheet name="Abu(A)" sheetId="20" r:id="rId20"/>
    <sheet name="Abu(L)" sheetId="21" r:id="rId21"/>
    <sheet name="Alcabitius" sheetId="22" r:id="rId22"/>
    <sheet name="Bonatti" sheetId="23" r:id="rId23"/>
    <sheet name="Llew" sheetId="24" r:id="rId24"/>
  </sheets>
  <definedNames>
    <definedName name="ASC">'Input'!$F$14</definedName>
    <definedName name="CUSP12">'Input'!$F$21</definedName>
    <definedName name="CUSP2">'Input'!$F$16</definedName>
    <definedName name="CUSP3">'Input'!$F$18</definedName>
    <definedName name="CUSP7">'Input'!$F$37</definedName>
    <definedName name="CUSP8">'Input'!$F$39</definedName>
    <definedName name="CUSP9">'Input'!$F$41</definedName>
    <definedName name="DEGEXALT">'Input'!$F$44</definedName>
    <definedName name="JU">'Input'!$F$32</definedName>
    <definedName name="LORD1">'Input'!$F$15</definedName>
    <definedName name="LORD12">'Input'!$F$22</definedName>
    <definedName name="LORD2">'Input'!$F$17</definedName>
    <definedName name="LORD9">'Input'!$F$19</definedName>
    <definedName name="LORDMOON">'Input'!$F$28</definedName>
    <definedName name="LORDSANS">'Input'!$F$24</definedName>
    <definedName name="LORDSUN">'Input'!$F$26</definedName>
    <definedName name="LORDTIME">'Input'!$F$43</definedName>
    <definedName name="LUMTIME">'Input'!$F$42</definedName>
    <definedName name="MA">'Input'!$F$31</definedName>
    <definedName name="MC">'Input'!$F$20</definedName>
    <definedName name="ME">'Input'!$F$29</definedName>
    <definedName name="MOON">'Input'!$F$27</definedName>
    <definedName name="POF">'Input'!$F$34</definedName>
    <definedName name="POS">'Input'!$F$35</definedName>
    <definedName name="_xlnm.Print_Area" localSheetId="15">'ABU'!$A$3:$I$65</definedName>
    <definedName name="_xlnm.Print_Area" localSheetId="19">'Abu(A)'!$A$4:$F$56</definedName>
    <definedName name="_xlnm.Print_Area" localSheetId="21">'Alcabitius'!$A$2:$G$52</definedName>
    <definedName name="_xlnm.Print_Area" localSheetId="3">'H1'!$B$3:$I$34</definedName>
    <definedName name="_xlnm.Print_Area" localSheetId="12">'H10'!$B$4:$I$53</definedName>
    <definedName name="_xlnm.Print_Area" localSheetId="13">'H11'!$B$20:$I$71</definedName>
    <definedName name="_xlnm.Print_Area" localSheetId="14">'H12'!$B$4:$I$33</definedName>
    <definedName name="_xlnm.Print_Area" localSheetId="4">'H2'!$B$4:$I$24</definedName>
    <definedName name="_xlnm.Print_Area" localSheetId="5">'H3'!$B$4:$I$32</definedName>
    <definedName name="_xlnm.Print_Area" localSheetId="6">'H4'!$B$4:$I$55</definedName>
    <definedName name="_xlnm.Print_Area" localSheetId="7">'H5'!$B$4:$I$41</definedName>
    <definedName name="_xlnm.Print_Area" localSheetId="8">'H6'!$B$4:$I$34</definedName>
    <definedName name="_xlnm.Print_Area" localSheetId="9">'H7'!$B$4:$I$94</definedName>
    <definedName name="_xlnm.Print_Area" localSheetId="10">'H8'!$B$4:$I$41</definedName>
    <definedName name="_xlnm.Print_Area" localSheetId="11">'H9'!$B$4:$I$54</definedName>
    <definedName name="_xlnm.Print_Area" localSheetId="1">'Report'!$B$1:$I$123</definedName>
    <definedName name="_xlnm.Print_Titles" localSheetId="1">'Report'!$1:$3</definedName>
    <definedName name="SA">'Input'!$F$33</definedName>
    <definedName name="SANS">'Input'!$F$23</definedName>
    <definedName name="SECT">'Input'!$E$11</definedName>
    <definedName name="SIGNS">'Input'!$R$17:$U$28</definedName>
    <definedName name="SUN">'Input'!$F$25</definedName>
    <definedName name="SUNSIGN">'Input'!$E$47</definedName>
    <definedName name="VE">'Input'!$F$30</definedName>
  </definedNames>
  <calcPr fullCalcOnLoad="1"/>
</workbook>
</file>

<file path=xl/sharedStrings.xml><?xml version="1.0" encoding="utf-8"?>
<sst xmlns="http://schemas.openxmlformats.org/spreadsheetml/2006/main" count="6094" uniqueCount="1229">
  <si>
    <t>Chastity of women</t>
  </si>
  <si>
    <t>Marriage of men and women (Hermes)</t>
  </si>
  <si>
    <t>Time of marriage (Hermes)</t>
  </si>
  <si>
    <t>Fraudulent mariage &amp; facilitating it</t>
  </si>
  <si>
    <t>Lawsuits</t>
  </si>
  <si>
    <t>Saturn</t>
  </si>
  <si>
    <t>Sun</t>
  </si>
  <si>
    <t>Venus</t>
  </si>
  <si>
    <t>Moon</t>
  </si>
  <si>
    <t>Mars</t>
  </si>
  <si>
    <t>Jupiter</t>
  </si>
  <si>
    <t>7th Cusp</t>
  </si>
  <si>
    <t>ASC</t>
  </si>
  <si>
    <t>Same</t>
  </si>
  <si>
    <t>Change</t>
  </si>
  <si>
    <t>Ibn Ezra</t>
  </si>
  <si>
    <t>Lot of Marriage for Men and Women</t>
  </si>
  <si>
    <t>Lot of Marriage in the Nativity of Men (Enoch)</t>
  </si>
  <si>
    <t>Lot of Marriage in the Nativity of Men (Valens)</t>
  </si>
  <si>
    <t>Lot of the Time of Marriage</t>
  </si>
  <si>
    <t>Lot of Adultery in Marriage</t>
  </si>
  <si>
    <t>Lot of Modesty</t>
  </si>
  <si>
    <t>Lot of Prostitution of Women</t>
  </si>
  <si>
    <t>Mundane Lots</t>
  </si>
  <si>
    <t>Lot of Elevation, Victory and Prosperity</t>
  </si>
  <si>
    <t>Prosperity (Peace)</t>
  </si>
  <si>
    <t>Battle (War)</t>
  </si>
  <si>
    <t>0AR00</t>
  </si>
  <si>
    <t>Lot of Male Adultery</t>
  </si>
  <si>
    <t>Lot of Female Adultery</t>
  </si>
  <si>
    <t>Lot of Prostitution of Males</t>
  </si>
  <si>
    <t>Lot of Intercourse</t>
  </si>
  <si>
    <t>Lot of Sexual Desire</t>
  </si>
  <si>
    <t>Lot of Quarrels</t>
  </si>
  <si>
    <t>Lot of Bridegrooms</t>
  </si>
  <si>
    <t>Bonatti</t>
  </si>
  <si>
    <t>Part of Men's Marriage (Hermes)</t>
  </si>
  <si>
    <t>Part of Men's Marriage (Valens)</t>
  </si>
  <si>
    <t>Part of Marriage of women (Vellius) - (?)</t>
  </si>
  <si>
    <t>Part of fathers-in-law</t>
  </si>
  <si>
    <t>Glory</t>
  </si>
  <si>
    <t>Friendship and enmity</t>
  </si>
  <si>
    <t>Known by men and revered, constant in affairs</t>
  </si>
  <si>
    <t>Success</t>
  </si>
  <si>
    <t>Worldliness</t>
  </si>
  <si>
    <t>Friends</t>
  </si>
  <si>
    <t>Violence</t>
  </si>
  <si>
    <t>Liberty of Person</t>
  </si>
  <si>
    <t>Praise &amp; acceptation</t>
  </si>
  <si>
    <t>POF</t>
  </si>
  <si>
    <t>Mercury</t>
  </si>
  <si>
    <t>Lot of the Friend</t>
  </si>
  <si>
    <t>P.Spirit</t>
  </si>
  <si>
    <t>Lot of Being Known Among People</t>
  </si>
  <si>
    <t>Lot of Prosperity</t>
  </si>
  <si>
    <t>Lot of Hope</t>
  </si>
  <si>
    <t>Lot of Abundance at Home</t>
  </si>
  <si>
    <t>Lot of Praise</t>
  </si>
  <si>
    <t>Lot of Desire</t>
  </si>
  <si>
    <t>Lot of Change</t>
  </si>
  <si>
    <t>Lot of Friends</t>
  </si>
  <si>
    <t>Schoener</t>
  </si>
  <si>
    <t>Part of Friends</t>
  </si>
  <si>
    <t>3rd Cusp</t>
  </si>
  <si>
    <t>Noble Births</t>
  </si>
  <si>
    <t>Lord Time</t>
  </si>
  <si>
    <t>Kings and Sultans</t>
  </si>
  <si>
    <t>Administrators, vazirs, etc.</t>
  </si>
  <si>
    <t>Sultans victory conquest</t>
  </si>
  <si>
    <t>Of those who rise in station</t>
  </si>
  <si>
    <t>Armies and Police</t>
  </si>
  <si>
    <t>Sultan. Those concerned in nativities</t>
  </si>
  <si>
    <t>Merchants and their work</t>
  </si>
  <si>
    <t>Buying and selling</t>
  </si>
  <si>
    <t>Operations and orders in medical treatment</t>
  </si>
  <si>
    <t>Part of Durability and Stability, Security of the Ascendant</t>
  </si>
  <si>
    <t>Part of Reason and Sense, Thought and Speech</t>
  </si>
  <si>
    <t>Part of Moneylenders</t>
  </si>
  <si>
    <t>Part of Blessedness, Jupiter, Triumph and Victory</t>
  </si>
  <si>
    <t>Part of Collection</t>
  </si>
  <si>
    <t>Part of the Number of Siblings</t>
  </si>
  <si>
    <t>Part of the father {if Saturn under rays, take Jupiter}</t>
  </si>
  <si>
    <t>Part of Grandfathers</t>
  </si>
  <si>
    <t>00LE00</t>
  </si>
  <si>
    <t>Part of Grandfathers - if Sun in Capricorn or Aquarius</t>
  </si>
  <si>
    <t>Part of Grandfathers - if Sun in Leo</t>
  </si>
  <si>
    <r>
      <t>Note</t>
    </r>
    <r>
      <rPr>
        <sz val="10"/>
        <rFont val="Arial"/>
        <family val="0"/>
      </rPr>
      <t>:  Empirical testing confirms this part, not the same part named by Al-Biruni with a different formula</t>
    </r>
  </si>
  <si>
    <t>Part of Relations or of Kindred or Excellence</t>
  </si>
  <si>
    <t>Part of Inheritances or Possessions a/c Hermes</t>
  </si>
  <si>
    <t>Part of Inheritances a/c to the Persians</t>
  </si>
  <si>
    <t>Part of Nobility of the Native</t>
  </si>
  <si>
    <t>Part of the End of Matters</t>
  </si>
  <si>
    <t>Part of Male Children (also related to fortune)</t>
  </si>
  <si>
    <t>Lord Sun*</t>
  </si>
  <si>
    <t>Lot of Grandfathers; Sun in AQ or CP</t>
  </si>
  <si>
    <t>Lot of Grandfathers; Sun in Leo</t>
  </si>
  <si>
    <t>Lot of Grandfathers; standard formula</t>
  </si>
  <si>
    <t>Sun's sign (2 digit abbreviation required)</t>
  </si>
  <si>
    <t>AR,GE,TA,CA,LE,VI,LI,SC,SA,CP,AQ,PI</t>
  </si>
  <si>
    <t>Whether a conceived child is male or female</t>
  </si>
  <si>
    <t>Part of Condition of Daughters</t>
  </si>
  <si>
    <t>Part of Infirmities, Accidents, and Inseparable Defects</t>
  </si>
  <si>
    <t>Part of Infirmities both Separable and Inseparable</t>
  </si>
  <si>
    <t>Part of Slaves a/c to Alchabitius &amp; Theophilus</t>
  </si>
  <si>
    <t>Part of Slaves a/c to Hermes</t>
  </si>
  <si>
    <t>Input 'D' for diurnal and 'N' for nocturnal</t>
  </si>
  <si>
    <t>SECT</t>
  </si>
  <si>
    <t>FROM</t>
  </si>
  <si>
    <t>TO</t>
  </si>
  <si>
    <t>START</t>
  </si>
  <si>
    <t>This is a part which I have struggled with based on inconsistencies from various authors.  My sense is that this 12th house</t>
  </si>
  <si>
    <t>Mars-Saturn part is mirrored by the 6th house part defined by reversing the positions of Mars &amp; Saturn because Mars</t>
  </si>
  <si>
    <t>rejoices in the 6th and Saturn in the 12th.</t>
  </si>
  <si>
    <t>LORD PRENATAL LUNATION (LORD SAN)</t>
  </si>
  <si>
    <t>SAN</t>
  </si>
  <si>
    <t>PRENATAL LUNATION (SAN*)</t>
  </si>
  <si>
    <t>Lord Lum Time</t>
  </si>
  <si>
    <t>LOT REPORT prepared for</t>
  </si>
  <si>
    <t>Lot of Reason and Strategy</t>
  </si>
  <si>
    <t>Lot of Hyleg</t>
  </si>
  <si>
    <t>Lot of Substance</t>
  </si>
  <si>
    <t>Lot of Debt</t>
  </si>
  <si>
    <t>Lot of Blessedness</t>
  </si>
  <si>
    <t>Lot of Collecting</t>
  </si>
  <si>
    <t>Lot of Siblings</t>
  </si>
  <si>
    <t>Lot of Number of Siblings</t>
  </si>
  <si>
    <t>Lot of Father</t>
  </si>
  <si>
    <t>Lot of Death of the Father</t>
  </si>
  <si>
    <t>Lot of Grandfathers</t>
  </si>
  <si>
    <t>Lot of Real Estate or Inheritance (Persians)</t>
  </si>
  <si>
    <t>Lot of Cultivation of the Earth</t>
  </si>
  <si>
    <t>Lot of Illness a/c some of the ancients</t>
  </si>
  <si>
    <t>Lot of Captivity</t>
  </si>
  <si>
    <t>Lot of Captivity - Nocturnal Figures</t>
  </si>
  <si>
    <t>Lot of Captivity - Diurnal Figures</t>
  </si>
  <si>
    <t>Lot of Marriage</t>
  </si>
  <si>
    <t>Lot of Time of Marriage</t>
  </si>
  <si>
    <t>Lot of Male Intercourse</t>
  </si>
  <si>
    <t>Lot of Female Intercourse</t>
  </si>
  <si>
    <t>Lot of Chastity in Men</t>
  </si>
  <si>
    <t>Lot of Chastity in Women</t>
  </si>
  <si>
    <t>Lot of Lawsuits</t>
  </si>
  <si>
    <t>Lot of Wisdom and Patience</t>
  </si>
  <si>
    <t>Lot of History, Rumors, and Fables</t>
  </si>
  <si>
    <t>Lot of Nobility</t>
  </si>
  <si>
    <t>Lot of Sudden Advancement</t>
  </si>
  <si>
    <t>Lot of Philanthropy and Honor among Men</t>
  </si>
  <si>
    <t>Lot of Soldiers and Ministers</t>
  </si>
  <si>
    <t>Lot of Manual Dexterity in the Arts</t>
  </si>
  <si>
    <t>Lot of Commerce/Mercury</t>
  </si>
  <si>
    <t>Lot of Work which Must be Done</t>
  </si>
  <si>
    <t>Lot of Death of the Mother</t>
  </si>
  <si>
    <t>Lot of Being Known Among Men</t>
  </si>
  <si>
    <t>Lot of Success and Profit</t>
  </si>
  <si>
    <t>Lot of Agreement or Violence among Friends</t>
  </si>
  <si>
    <t>Lot of Liberty and Goodness of the Soul</t>
  </si>
  <si>
    <t>Lot of Labor and Affliction</t>
  </si>
  <si>
    <t>Lot of Lean Bodies</t>
  </si>
  <si>
    <t>Lot of Boldness</t>
  </si>
  <si>
    <t>Lot of Cleverness</t>
  </si>
  <si>
    <t>Lot of Completion of Unknown Matters</t>
  </si>
  <si>
    <t>Lot of Delay and Inertia</t>
  </si>
  <si>
    <t>Lot of Repayment</t>
  </si>
  <si>
    <t>*SAN  is the abbreviation for</t>
  </si>
  <si>
    <t>Syzygy Ante Nativitatem</t>
  </si>
  <si>
    <t>or Latin for Prenatal Lunation</t>
  </si>
  <si>
    <t>Janus Software uses this abbreviation.</t>
  </si>
  <si>
    <t>John Elihu Hall was attacked by a mob on July 28, 1812:  c.s.a. Mars 19PI43 conjunct Part of Accusation, Exile and Injury 19PI43.</t>
  </si>
  <si>
    <r>
      <t xml:space="preserve">Studying nativities from </t>
    </r>
    <r>
      <rPr>
        <b/>
        <i/>
        <sz val="10"/>
        <rFont val="Arial"/>
        <family val="2"/>
      </rPr>
      <t>America is Born</t>
    </r>
    <r>
      <rPr>
        <sz val="10"/>
        <rFont val="Arial"/>
        <family val="0"/>
      </rPr>
      <t xml:space="preserve"> gives credence to the part as named and defined above.</t>
    </r>
  </si>
  <si>
    <t>Isaiah Thomas was forced out of Boston (essentially banished) on April 16, 1775:  tr. South Node conj Part of Accusation, Exile and Injury 1PI12</t>
  </si>
  <si>
    <t>Clement Vallandingham was banished on May 17, 1863; 1862 solar return ASC, Mars, and Saturn configured to the Part of Accusation, Exile and Injury 19PI02.</t>
  </si>
  <si>
    <t>Part of Captives and the Fettered - Diurnal Figures</t>
  </si>
  <si>
    <t>Part of Cleverness and Skill of Men towrad Women</t>
  </si>
  <si>
    <t>Part of Men's Sexual Intercourse with Women</t>
  </si>
  <si>
    <t>Part of Luxury and Men's Fornication</t>
  </si>
  <si>
    <t>Part of Women's Marriage (Hermes)</t>
  </si>
  <si>
    <t>Part of Women's Skill and Cleverness toward Men</t>
  </si>
  <si>
    <t>Part of Enjoyment and Delight</t>
  </si>
  <si>
    <t>Part of Women's Licentiousness and their Shamefulness</t>
  </si>
  <si>
    <t>Part of the Woman's Religion and Honesty</t>
  </si>
  <si>
    <t>Part of Men's and Women's Marriage a/c Hermes</t>
  </si>
  <si>
    <t>Part of the Hour of Marriage (same as POF day formula)</t>
  </si>
  <si>
    <t>Part of Skill and Ease of Arranging a Marriage</t>
  </si>
  <si>
    <t>Part of Contenders and of Contentions</t>
  </si>
  <si>
    <t>Part of the Heavy Place</t>
  </si>
  <si>
    <t>Part of the Year in which Death is Feared for the Native</t>
  </si>
  <si>
    <t>Part of Concern and Oppression and Destruction</t>
  </si>
  <si>
    <t>Part of Pilgrimage</t>
  </si>
  <si>
    <t>Part of Journey and Pilgrimage by Water</t>
  </si>
  <si>
    <t>Part of Prayer [or Oration] and Profound Counsel</t>
  </si>
  <si>
    <t>Part of Wisdom and Patience</t>
  </si>
  <si>
    <t>Part of Histories and Knowledge, Rumors and Stories</t>
  </si>
  <si>
    <t>Part of Rumors (whether they are true or false)</t>
  </si>
  <si>
    <t>Part of Nobility</t>
  </si>
  <si>
    <t>Part of  Kingdom</t>
  </si>
  <si>
    <t>Part of Kingship and Kings and Dispositors</t>
  </si>
  <si>
    <t>Part of a Kingdom and Victory and Aid</t>
  </si>
  <si>
    <t>Part of Those Suddenly Made Lofty</t>
  </si>
  <si>
    <t>Part of Nobles (and of those who are noted among men)</t>
  </si>
  <si>
    <t>Part of Soldiers and Ministers</t>
  </si>
  <si>
    <t>Part of Kings (and what a native might do my means of works)</t>
  </si>
  <si>
    <t>Part of Businessmen and Those Working with Their Hands</t>
  </si>
  <si>
    <t>Part of Work (and of a matter which it is necessary that it come to be wholly)</t>
  </si>
  <si>
    <t>Part of Mothers</t>
  </si>
  <si>
    <t>Part of the Death of the Mother</t>
  </si>
  <si>
    <t>Part Signifying Whether There is a Reason for a Kingdom or Not</t>
  </si>
  <si>
    <t>Part of the Business of Buying and Selling</t>
  </si>
  <si>
    <t>Part of Excellence and Nobility</t>
  </si>
  <si>
    <t>Part Signifying How the Native Will be Loved by Men</t>
  </si>
  <si>
    <t>Part of One Known among Men and One Honored Among Them</t>
  </si>
  <si>
    <t>Part of Luckiness and Profit</t>
  </si>
  <si>
    <t>Part of Coveting (and of the inclination to or the appetite for the love of the world and temporal things)</t>
  </si>
  <si>
    <t>Part of Trust and Hope</t>
  </si>
  <si>
    <t>Part of the Agreement of Friends, (and even of a husband and wife), and their discord</t>
  </si>
  <si>
    <t>Part of Fertility and the Abundance of Good in the Home</t>
  </si>
  <si>
    <t>Part of the Honesty of the Mind</t>
  </si>
  <si>
    <t>Part of Praise and of Gratitude</t>
  </si>
  <si>
    <t>Part of Necessity and the Love of Matters</t>
  </si>
  <si>
    <t>Part of Hidden Enemies</t>
  </si>
  <si>
    <t>Part of Enemies a/c Hermes</t>
  </si>
  <si>
    <t>Part of Labor and Affliction</t>
  </si>
  <si>
    <t>Part of Lean Bodies</t>
  </si>
  <si>
    <t>Part of Warfare and Boldness</t>
  </si>
  <si>
    <t>Part of Boldness and Strength and Rulership</t>
  </si>
  <si>
    <t>PART OF BOLDNESS</t>
  </si>
  <si>
    <t>Part of Cleverness and Skill and Sharpness and Learning (of all ars, and memory and the like)</t>
  </si>
  <si>
    <t xml:space="preserve">PART OF CLEVERNESS </t>
  </si>
  <si>
    <t>Part of the Investigation of a Matter (and whether the matter will be generally perfected, or destroyed, or deferreed, or brought forth to its effect)</t>
  </si>
  <si>
    <t>Part of Necessity and the Delay of Matters</t>
  </si>
  <si>
    <t>P. Delay</t>
  </si>
  <si>
    <t>Part of Repayment</t>
  </si>
  <si>
    <t>PART OF REPAYMENT</t>
  </si>
  <si>
    <t>Part of Truth and of Good Works</t>
  </si>
  <si>
    <t>Guido Bonatti, Book of Astronomy.  Translated by Ben Dykes</t>
  </si>
  <si>
    <t xml:space="preserve">"And Fortune signifies everything that concerns the body, and what one does through the course of life. </t>
  </si>
  <si>
    <t>It becomes indicative of possessions, reputation and privilege."</t>
  </si>
  <si>
    <t xml:space="preserve">"Spirit happens to be lord of soul, temper, mindfulness, and every power; and sometimes it </t>
  </si>
  <si>
    <t>also cooperates in the determination concerning what one does."</t>
  </si>
  <si>
    <t xml:space="preserve">"Necessity signifies constraints, submissions, struggles, and wars, and makes enmities, </t>
  </si>
  <si>
    <t>hatreds, condemnations, all the other restrictive things befalling men as a result of their birth."</t>
  </si>
  <si>
    <t>"Eros signifies the appetites and the voluntative desires. It becomes a contributing</t>
  </si>
  <si>
    <t xml:space="preserve"> cause of friendship and mutual favor."</t>
  </si>
  <si>
    <t>"Courage becomes a contributing cause of boldness, treachery, might, and every villainy."</t>
  </si>
  <si>
    <t xml:space="preserve">"Victory becomes a contributing cause of trust, good expectation, contest, and every association; </t>
  </si>
  <si>
    <t>but sometimes it contributes to penalties and rewards."</t>
  </si>
  <si>
    <t xml:space="preserve">"Nemesis becomes a contributing cause of subterranean fates and of everything which is ice-cold, </t>
  </si>
  <si>
    <t>of demonstration, impotence, exile, destruction, grief, and quality of death."</t>
  </si>
  <si>
    <t>Print range is preset.</t>
  </si>
  <si>
    <t>ANTISCION</t>
  </si>
  <si>
    <r>
      <t>Note</t>
    </r>
    <r>
      <rPr>
        <sz val="10"/>
        <rFont val="Arial"/>
        <family val="0"/>
      </rPr>
      <t>: Manual input of degree conversion to 360 basis is required.</t>
    </r>
  </si>
  <si>
    <t>Mothers</t>
  </si>
  <si>
    <t>Lot of Kingship</t>
  </si>
  <si>
    <t>Lot of Triumph - If Saturn under rays take Jupiter (father)</t>
  </si>
  <si>
    <t>Lot of Counsel</t>
  </si>
  <si>
    <t>Lot of Philanthropy</t>
  </si>
  <si>
    <t>Lot of Sudden Taking Over Power</t>
  </si>
  <si>
    <t xml:space="preserve">Lot of Activity (or Profession) </t>
  </si>
  <si>
    <t>Lot of Work Done with the Hands</t>
  </si>
  <si>
    <t>Lot of the Work (or Action) which must be Done</t>
  </si>
  <si>
    <t>Lot of Commerce (or Business)</t>
  </si>
  <si>
    <t>Lot of Greatness</t>
  </si>
  <si>
    <t>Lot of the Mother</t>
  </si>
  <si>
    <t>MC</t>
  </si>
  <si>
    <t>Part of the Mother</t>
  </si>
  <si>
    <t>H10</t>
  </si>
  <si>
    <t>Lot of Travel</t>
  </si>
  <si>
    <t>Lord 9th</t>
  </si>
  <si>
    <t>8th Cusp</t>
  </si>
  <si>
    <t>9th Cusp</t>
  </si>
  <si>
    <t>Al Biruni</t>
  </si>
  <si>
    <t>Journeys</t>
  </si>
  <si>
    <t>Part of Journeys by Water</t>
  </si>
  <si>
    <t>15CA</t>
  </si>
  <si>
    <t>Lot of Travel by Water</t>
  </si>
  <si>
    <t>Journeys by Water</t>
  </si>
  <si>
    <t>Part of Religion</t>
  </si>
  <si>
    <t>Lot of Humbleness</t>
  </si>
  <si>
    <t>Timidity and Hiding</t>
  </si>
  <si>
    <t>Lot of Wisdom</t>
  </si>
  <si>
    <t>Deep Reflection</t>
  </si>
  <si>
    <t>Lot of Prophecies (Telling Stories)</t>
  </si>
  <si>
    <t>Traditions, knowledge of affairs</t>
  </si>
  <si>
    <t>Lof of Whether the Matter is True of False</t>
  </si>
  <si>
    <t>Knowledge whether true or false</t>
  </si>
  <si>
    <t>Al-Biruni</t>
  </si>
  <si>
    <t>Hailaj</t>
  </si>
  <si>
    <t>Pars Hyleg</t>
  </si>
  <si>
    <t>Lot of the Number of Years of Life</t>
  </si>
  <si>
    <t>change</t>
  </si>
  <si>
    <t>Part of Horsemanship, bravery</t>
  </si>
  <si>
    <t>Lot of Might</t>
  </si>
  <si>
    <t>Part of Boldness, violence, and murder</t>
  </si>
  <si>
    <t>Lot of Killing</t>
  </si>
  <si>
    <t>Part of Trickery and deceit</t>
  </si>
  <si>
    <t>Lof of Deceit</t>
  </si>
  <si>
    <t>Part of Necessity and Wish</t>
  </si>
  <si>
    <t>Lot of the Place Sought</t>
  </si>
  <si>
    <t>Part of requirements and necessities a/c Egyptians</t>
  </si>
  <si>
    <t>Lot of Delay</t>
  </si>
  <si>
    <t>Part of Retribution</t>
  </si>
  <si>
    <t>Lot of Following</t>
  </si>
  <si>
    <t>Part of Rectitude</t>
  </si>
  <si>
    <t>Lot of Truth</t>
  </si>
  <si>
    <t>Uranus</t>
  </si>
  <si>
    <t>Neptune</t>
  </si>
  <si>
    <t>Abu Masar</t>
  </si>
  <si>
    <t>Lot of fortune [A-3]</t>
  </si>
  <si>
    <t>Lot of the absent [A-4]</t>
  </si>
  <si>
    <t>Lot of religion [A-5], agrees with Lot of the absent</t>
  </si>
  <si>
    <t>Lot of love and affection [A-6]</t>
  </si>
  <si>
    <t>L.fortune</t>
  </si>
  <si>
    <t>L.absent</t>
  </si>
  <si>
    <t>Lot of firmness, remaining, the basis of the ASC, the splendour of the native and his beauty [A-7]</t>
  </si>
  <si>
    <t>Lot of courage and boldness [A-9]</t>
  </si>
  <si>
    <t>Lot of poverty (barrenness) and lack of means [A-8]</t>
  </si>
  <si>
    <t>Lot of prosperity, overcoming, and victory [A-10]</t>
  </si>
  <si>
    <t>Lot of bonds, imprisonment and whether he will be saved from it or not [A-11]</t>
  </si>
  <si>
    <t>Lot of life [A-12]</t>
  </si>
  <si>
    <t>Lot of the prorogator [A-13]</t>
  </si>
  <si>
    <t>SANS</t>
  </si>
  <si>
    <t>Lot of wealth [A-14]</t>
  </si>
  <si>
    <t>Lord H2</t>
  </si>
  <si>
    <t>2nd Cusp</t>
  </si>
  <si>
    <t>SAME</t>
  </si>
  <si>
    <t>Lot of brothers [A-15]</t>
  </si>
  <si>
    <t>Lot of the death of brothers [A-16]</t>
  </si>
  <si>
    <t>Lot of fathers [A-17] {if Saturn under rays, take Jupiter}</t>
  </si>
  <si>
    <t>Lot of authority [A-18], like the lot of fathers</t>
  </si>
  <si>
    <t>Lord Sun</t>
  </si>
  <si>
    <t>Lot of grandfathers [A-19] {if Sun/Leo/Aq/Cap, use P.father}</t>
  </si>
  <si>
    <t>Lot of landed property and estates [A-20]</t>
  </si>
  <si>
    <t>Lot of authority and what job the native does [A-21]</t>
  </si>
  <si>
    <t>Lot of children [A-22]</t>
  </si>
  <si>
    <t>Lot of life [A-23], agrees with lot of children</t>
  </si>
  <si>
    <t>Lot indicating the time in which the children are &lt;born&gt;, their number, and whether the woman gives birth to a male or female child [A-24]</t>
  </si>
  <si>
    <t>Lot of the knowledge of the condition of male children [A-25]</t>
  </si>
  <si>
    <t>Lot of the knowledge of the condition of female children [A-26]</t>
  </si>
  <si>
    <t>Lord Moon</t>
  </si>
  <si>
    <t>Lot of illness, weaknesses and chronic disease [A-28]</t>
  </si>
  <si>
    <t>Lot of his own slaves [A-29]</t>
  </si>
  <si>
    <t>Lot of the marriage of men and the lot of rumors acc to Hermes [A-30]</t>
  </si>
  <si>
    <t>Lot of marriage of men according to Valens [A-31]</t>
  </si>
  <si>
    <t>Lot of marriage of women according to Hermes [A-32]</t>
  </si>
  <si>
    <t>Lot of cultivation [A-33], agrees with Lot of marriage of women (Hermes)</t>
  </si>
  <si>
    <t>Lot of marriage of women according to Valens [A-34]</t>
  </si>
  <si>
    <t>Lot of the time of the marriage according to Hermes [A-35]</t>
  </si>
  <si>
    <t>Lot of death [A-36]</t>
  </si>
  <si>
    <t>Lot of the planet that kills [A-37]</t>
  </si>
  <si>
    <t>Lord SANS</t>
  </si>
  <si>
    <t>Lot of the outcomes of things [A-39], agrees with Lot of the year - death is feared</t>
  </si>
  <si>
    <t>Lot of the year in which you fear death for the native and famine [A-38]</t>
  </si>
  <si>
    <t>Lot of the troubled place and the place of the illness [A-40]</t>
  </si>
  <si>
    <t>Lot of the journey [A-42]</t>
  </si>
  <si>
    <t>Lot of the journey on water [A-43]</t>
  </si>
  <si>
    <t>Lot of the intellect and profound thought [A-44], sim to that which is of professions</t>
  </si>
  <si>
    <t>Lot of whether the rumour is true or false [A-45]</t>
  </si>
  <si>
    <t>Lot of slaves [A-46], agrees with lot of whether the rumour is true or false</t>
  </si>
  <si>
    <t>Lot of the nobility of the native, if they doubt concerning him whether or not he is his father's &lt;son&gt; [A-47]</t>
  </si>
  <si>
    <t>Lum Sect</t>
  </si>
  <si>
    <t>Deg Exhalt</t>
  </si>
  <si>
    <t>Lot of the king and the authority [A-48]</t>
  </si>
  <si>
    <t>Lot of authority and what job the native does {profession of the royal child} [A-49]</t>
  </si>
  <si>
    <t>Lot of landed property and estates [A-50]</t>
  </si>
  <si>
    <t>Lot of hope [A-52]</t>
  </si>
  <si>
    <t>Lot of the mother [A-51]</t>
  </si>
  <si>
    <t>Lot of friends [A-53]</t>
  </si>
  <si>
    <t>Lot of enemies according to some of the Ancients [A-54]</t>
  </si>
  <si>
    <t>Lot of enemies according to Hermes [A-55]</t>
  </si>
  <si>
    <t>Lord 12</t>
  </si>
  <si>
    <t>12th Cusp</t>
  </si>
  <si>
    <t>Lot of Death</t>
  </si>
  <si>
    <t>Lord 1st</t>
  </si>
  <si>
    <t>Lot/Part Report for</t>
  </si>
  <si>
    <t>Instructions for Use:</t>
  </si>
  <si>
    <t>1. Input all data in cells which are highlighted in the color blue.</t>
  </si>
  <si>
    <t>2. Switch to 'Report' Tab and print report.</t>
  </si>
  <si>
    <t>Lot of the Killing Planet</t>
  </si>
  <si>
    <t>Lot of the Year of Danger</t>
  </si>
  <si>
    <t>Lot of the Place of Sickness</t>
  </si>
  <si>
    <t>Lot of Distress</t>
  </si>
  <si>
    <t>Part of Death</t>
  </si>
  <si>
    <t>Part of the Killing Planet</t>
  </si>
  <si>
    <t>P.Fortune</t>
  </si>
  <si>
    <t>Part of Mercury, Part of Poverty and Ordinary Intellect</t>
  </si>
  <si>
    <t>Part of Life</t>
  </si>
  <si>
    <t>Lot of Mercury</t>
  </si>
  <si>
    <t>Lot of Life</t>
  </si>
  <si>
    <t>Lof of Venus, Lot of Stature and Beauty</t>
  </si>
  <si>
    <t>Part of Venus, Part of durability and stability, pars Veneris</t>
  </si>
  <si>
    <t>Lot of Intelligence &amp; speech</t>
  </si>
  <si>
    <t>Part of the Hyleg, pars hyleg</t>
  </si>
  <si>
    <t>Lord II</t>
  </si>
  <si>
    <t>Cusp II</t>
  </si>
  <si>
    <t>Lot of Wealth</t>
  </si>
  <si>
    <t>Part of Substance</t>
  </si>
  <si>
    <t>Lot of Lending (Borrowing)</t>
  </si>
  <si>
    <t>Lot of Finding [things]</t>
  </si>
  <si>
    <t>Lot of Brothers</t>
  </si>
  <si>
    <t>Lot of the Number of Brothers</t>
  </si>
  <si>
    <t>Lot of the Death of Brothers</t>
  </si>
  <si>
    <t>Part of Siblings</t>
  </si>
  <si>
    <t>Part of the Benevolence of Siblings (sub Ju if Sat/rays)</t>
  </si>
  <si>
    <t>Part of the Death of the Brothers and Sisters</t>
  </si>
  <si>
    <t>?</t>
  </si>
  <si>
    <t xml:space="preserve">PART OF THE BENEVOLENCE OF SIBLINGS </t>
  </si>
  <si>
    <t>LOT OF COMMERCE/MERCURY</t>
  </si>
  <si>
    <t>Lot of the inborn character [A-41], agrees with the lot of the troubled place</t>
  </si>
  <si>
    <t>9SC49</t>
  </si>
  <si>
    <t>23AQ34</t>
  </si>
  <si>
    <t>25CA39</t>
  </si>
  <si>
    <t>Paulus</t>
  </si>
  <si>
    <t>L.Spirit</t>
  </si>
  <si>
    <t>Lot of Fortune (Moon)</t>
  </si>
  <si>
    <t>Lot of Spirit (Sun)</t>
  </si>
  <si>
    <t>Lot of Eros (Venus)</t>
  </si>
  <si>
    <t>L.Fortune</t>
  </si>
  <si>
    <t>Lots of the Planets</t>
  </si>
  <si>
    <t>Lord 1</t>
  </si>
  <si>
    <t>CUSP7 - INTERMEDIATE</t>
  </si>
  <si>
    <t>CUSP7 - FINAL</t>
  </si>
  <si>
    <t>CUSP8 - INTERMEDIATE</t>
  </si>
  <si>
    <t>CUSP8 - FINAL</t>
  </si>
  <si>
    <t>CUSP9 - INTERMEDIATE</t>
  </si>
  <si>
    <t>CUSP9 - FINAL</t>
  </si>
  <si>
    <t xml:space="preserve">Lof of Eros - Venus </t>
  </si>
  <si>
    <t>Note: Empirical Testing confirms this part, not Al Biruni's Part of Death of Siblings which is a different formula</t>
  </si>
  <si>
    <t>Lot of Necessity (Mercury)</t>
  </si>
  <si>
    <t>Lot of Courage (Mars)</t>
  </si>
  <si>
    <t>Lot of Victory (Jupiter)</t>
  </si>
  <si>
    <t>Lot of Nemesis (Saturn)</t>
  </si>
  <si>
    <t>Lot of Mother</t>
  </si>
  <si>
    <t>Lot of Children</t>
  </si>
  <si>
    <t>Lot of Marriage of Men</t>
  </si>
  <si>
    <t>Lot of Marriage of Women</t>
  </si>
  <si>
    <t>Olympiodorus</t>
  </si>
  <si>
    <t>Lot of the Father (sub Ju for Sa if Sa under beams 15deg)</t>
  </si>
  <si>
    <t>Lot of Living Abroad</t>
  </si>
  <si>
    <t>Lot of Resources</t>
  </si>
  <si>
    <t>Lot of Invention</t>
  </si>
  <si>
    <t>Lot of Military Service</t>
  </si>
  <si>
    <t>Lot of Theft</t>
  </si>
  <si>
    <t>Lot of Inheritance</t>
  </si>
  <si>
    <t>Lot of Partnership</t>
  </si>
  <si>
    <t>Lot of Loans</t>
  </si>
  <si>
    <t>Lot of victory</t>
  </si>
  <si>
    <t>Lot of Beginning/Sovereignty</t>
  </si>
  <si>
    <t>Lot of Action/What One Does</t>
  </si>
  <si>
    <t>Lot of Adultery</t>
  </si>
  <si>
    <t>Lot of Purchase</t>
  </si>
  <si>
    <t>Lot of Parents/Ancestors</t>
  </si>
  <si>
    <t>Lot of Ship-owning</t>
  </si>
  <si>
    <t>Lot of Slaves</t>
  </si>
  <si>
    <t>Lof of Friends</t>
  </si>
  <si>
    <t>Lot of Landed Properties</t>
  </si>
  <si>
    <t>Lot of Advantage</t>
  </si>
  <si>
    <t>Lot of Craft</t>
  </si>
  <si>
    <t>Lot of Injury</t>
  </si>
  <si>
    <t>Lot of Manner of Living</t>
  </si>
  <si>
    <t>Lot of Basis/Foundation</t>
  </si>
  <si>
    <t>Lot of Enemies</t>
  </si>
  <si>
    <t>Lot of Rank</t>
  </si>
  <si>
    <t>Lot of Fatherland</t>
  </si>
  <si>
    <t>Lot of Exile</t>
  </si>
  <si>
    <t>Lot of Judgement</t>
  </si>
  <si>
    <t>Lot of Imprisonment</t>
  </si>
  <si>
    <t>Lot of Pain</t>
  </si>
  <si>
    <t>Second Lot of Enemies According to Enoch</t>
  </si>
  <si>
    <t>27CA53</t>
  </si>
  <si>
    <t>Lot by which one knows whether the native or the person about whom a question was asked or the embryo is male of female [A-27]</t>
  </si>
  <si>
    <t>Lof of Diseases and Handicap</t>
  </si>
  <si>
    <t>Lot of Prison and Captivity - Diurnal Figures</t>
  </si>
  <si>
    <t>Lot of Prison and Captivity - Nocturnal Figures</t>
  </si>
  <si>
    <t>The Azemene Part, of Inseparable Infirmity</t>
  </si>
  <si>
    <t>Part of captives and the conquered - Nocturnal Figures</t>
  </si>
  <si>
    <t>The Anairetai (al-quttal)</t>
  </si>
  <si>
    <t>LOT OF KNOWLEDGE</t>
  </si>
  <si>
    <t>LOT OF UNDERSTANDING &amp; WISDOM</t>
  </si>
  <si>
    <t>Lord SAN</t>
  </si>
  <si>
    <t>Lot of Necessity - Mercury</t>
  </si>
  <si>
    <t>LOT OF FREEDOM OF SOUL/HOPE</t>
  </si>
  <si>
    <t>8CP58</t>
  </si>
  <si>
    <t>Part of Hope</t>
  </si>
  <si>
    <t>AL</t>
  </si>
  <si>
    <t>PART OF TRUTH</t>
  </si>
  <si>
    <t>PART OF REALIZATION OF NEEDS AND DESIRES</t>
  </si>
  <si>
    <t>Lot of Defect in the Body</t>
  </si>
  <si>
    <t>LOT OF DELAY A/C TO ENOCH</t>
  </si>
  <si>
    <t>PART OF COMPLETION OF UNKNOWN MATTERS</t>
  </si>
  <si>
    <t>PART OF DELAY AND INERTIA</t>
  </si>
  <si>
    <t>P.Delay</t>
  </si>
  <si>
    <t>PART OF NECESSITY A/C TO PERSIANS</t>
  </si>
  <si>
    <t>Part of Mars, Which is Called the Part of Daring</t>
  </si>
  <si>
    <t>Deg Exaltation</t>
  </si>
  <si>
    <t>Lot of Jupiter</t>
  </si>
  <si>
    <t>Part of Jupiter, Which is Called the Part of Happiness</t>
  </si>
  <si>
    <t>Lot of Saturn</t>
  </si>
  <si>
    <t>On the Heavy Part which is Called Part of Saturn</t>
  </si>
  <si>
    <t>P.Venus</t>
  </si>
  <si>
    <t>Part of Children</t>
  </si>
  <si>
    <t>Lot for the Time the Child is Born</t>
  </si>
  <si>
    <t>Lot of Male Children</t>
  </si>
  <si>
    <t>Lot of Daughters</t>
  </si>
  <si>
    <t>Lot of the Question Whether Male or Female</t>
  </si>
  <si>
    <t>Lot of the Child</t>
  </si>
  <si>
    <t>Part of the Hour in which the child will be Born</t>
  </si>
  <si>
    <t>Formula</t>
  </si>
  <si>
    <t>Raw</t>
  </si>
  <si>
    <t>Net</t>
  </si>
  <si>
    <t>Sect</t>
  </si>
  <si>
    <t>Correct</t>
  </si>
  <si>
    <t>Maternus</t>
  </si>
  <si>
    <t>Part of Fortune</t>
  </si>
  <si>
    <t>Part of the Daemon (Part of the Sun)</t>
  </si>
  <si>
    <t>House of the father</t>
  </si>
  <si>
    <t>House of the mother</t>
  </si>
  <si>
    <t>House of brothers</t>
  </si>
  <si>
    <t>House of the wife</t>
  </si>
  <si>
    <t>House of the wife (alt)</t>
  </si>
  <si>
    <t>House of the husband in a woman's chart</t>
  </si>
  <si>
    <t>House of children (*start from Me or Ve which is earliest in the signs)</t>
  </si>
  <si>
    <t>House of afflictions and illnesses</t>
  </si>
  <si>
    <t>House of sexual desires</t>
  </si>
  <si>
    <t>House of necessity</t>
  </si>
  <si>
    <t>House of honors</t>
  </si>
  <si>
    <t>House of military affairs</t>
  </si>
  <si>
    <t>House of travel</t>
  </si>
  <si>
    <t>House of reputation</t>
  </si>
  <si>
    <t>House of physical courage</t>
  </si>
  <si>
    <t>House of possessions</t>
  </si>
  <si>
    <t>House of accusations</t>
  </si>
  <si>
    <t>House of enemies</t>
  </si>
  <si>
    <t>House of friends</t>
  </si>
  <si>
    <t>House of glory</t>
  </si>
  <si>
    <t>House of slaves</t>
  </si>
  <si>
    <t>House of Nemesis</t>
  </si>
  <si>
    <t>House of power</t>
  </si>
  <si>
    <t>Part of Understanding</t>
  </si>
  <si>
    <t>Part of Spirit</t>
  </si>
  <si>
    <t>Part of Goods</t>
  </si>
  <si>
    <t>Part of Brethren</t>
  </si>
  <si>
    <t>Part of the Love of Brethren</t>
  </si>
  <si>
    <t>Part of the Father</t>
  </si>
  <si>
    <t>Part of Fortune in Husbandry</t>
  </si>
  <si>
    <t>Part of Inheritances and Possessions</t>
  </si>
  <si>
    <t>Part of Male Children</t>
  </si>
  <si>
    <t>Part of Female Children</t>
  </si>
  <si>
    <t>Part of Plays</t>
  </si>
  <si>
    <t>Part of Sickness</t>
  </si>
  <si>
    <t>Part of Slavery and Bondage</t>
  </si>
  <si>
    <t>Part of Servants</t>
  </si>
  <si>
    <t>Part of Marriage</t>
  </si>
  <si>
    <t>Part of Discord and Controversy</t>
  </si>
  <si>
    <t>Part of the Periolous and Most Dangerous Year</t>
  </si>
  <si>
    <t>Part of Faith</t>
  </si>
  <si>
    <t>Part of Travels by Land</t>
  </si>
  <si>
    <t>Part of Nobility and Honor</t>
  </si>
  <si>
    <t>Part of Magistery and Profession</t>
  </si>
  <si>
    <t>Part of Merchandise</t>
  </si>
  <si>
    <t>Part of Honourable and Illustrious Acquantance</t>
  </si>
  <si>
    <t>Part of Imprisonment, Sorrow, and Captivity</t>
  </si>
  <si>
    <t>Part of Private Enemies</t>
  </si>
  <si>
    <t>Llewellyn</t>
  </si>
  <si>
    <t>Lord 2</t>
  </si>
  <si>
    <t>Lord 8th</t>
  </si>
  <si>
    <t>Deg Exalt</t>
  </si>
  <si>
    <t>Part of Sudden Advancement (If Sa=CMB, sub Ju)</t>
  </si>
  <si>
    <t>Lord 12th</t>
  </si>
  <si>
    <t>Dorotheus</t>
  </si>
  <si>
    <t>Lot of brothers</t>
  </si>
  <si>
    <t>Lot of children</t>
  </si>
  <si>
    <t>Lof of chronic illness</t>
  </si>
  <si>
    <t>Lot of the demon</t>
  </si>
  <si>
    <t>Lot of the father</t>
  </si>
  <si>
    <t>Lot of female children</t>
  </si>
  <si>
    <t>Lof of fortune</t>
  </si>
  <si>
    <t>Lof of friendship</t>
  </si>
  <si>
    <t>Lot of happiness and wedding</t>
  </si>
  <si>
    <t>Lot of love</t>
  </si>
  <si>
    <t>Lot of male children</t>
  </si>
  <si>
    <t>Lof of marriage of the woman</t>
  </si>
  <si>
    <t>Lot of the mother</t>
  </si>
  <si>
    <t>Lot of necessity</t>
  </si>
  <si>
    <t>Lof of soldiering</t>
  </si>
  <si>
    <t>Lof of transit with respect to children</t>
  </si>
  <si>
    <t>Lot of wedding</t>
  </si>
  <si>
    <t>Lot of wedding for men</t>
  </si>
  <si>
    <t>Lot of wedding for women</t>
  </si>
  <si>
    <t>Lot of the Father (if Sa=CMB, take Jupiter)</t>
  </si>
  <si>
    <t>Lot of the Death of the Father</t>
  </si>
  <si>
    <t>Lot of the Grandfather {if Sun/Leo/Aq/Cap, use P.father}</t>
  </si>
  <si>
    <t>Lot of Lineage</t>
  </si>
  <si>
    <t>Lot of Property</t>
  </si>
  <si>
    <t>Lot of Cultivation of the Soil</t>
  </si>
  <si>
    <t>Part of Cultivation of the Earth</t>
  </si>
  <si>
    <t>Lot of the End</t>
  </si>
  <si>
    <t>1GE03</t>
  </si>
  <si>
    <t>PART OF FEMALE INTERCOURSE</t>
  </si>
  <si>
    <t>Part of Chastity of Men</t>
  </si>
  <si>
    <t>19GE22</t>
  </si>
  <si>
    <t>5CA23</t>
  </si>
  <si>
    <t>11SC38</t>
  </si>
  <si>
    <t>3TA20</t>
  </si>
  <si>
    <t>Day</t>
  </si>
  <si>
    <t>Diff</t>
  </si>
  <si>
    <t>Adjust</t>
  </si>
  <si>
    <t>Night</t>
  </si>
  <si>
    <t>Sign</t>
  </si>
  <si>
    <t>Sign Lookup Table</t>
  </si>
  <si>
    <t>AR</t>
  </si>
  <si>
    <t>TA</t>
  </si>
  <si>
    <t>GE</t>
  </si>
  <si>
    <t>CA</t>
  </si>
  <si>
    <t>LE</t>
  </si>
  <si>
    <t>VI</t>
  </si>
  <si>
    <t>LI</t>
  </si>
  <si>
    <t>SC</t>
  </si>
  <si>
    <t>SA</t>
  </si>
  <si>
    <t>CP</t>
  </si>
  <si>
    <t>AQ</t>
  </si>
  <si>
    <t>PI</t>
  </si>
  <si>
    <t>DEG</t>
  </si>
  <si>
    <t>SGN</t>
  </si>
  <si>
    <t>MIN</t>
  </si>
  <si>
    <t>CUSP2</t>
  </si>
  <si>
    <t>LORD2</t>
  </si>
  <si>
    <t>CUSP3</t>
  </si>
  <si>
    <t>LORD9</t>
  </si>
  <si>
    <t>CUSP12</t>
  </si>
  <si>
    <t>LORD12</t>
  </si>
  <si>
    <t>LORDSUN</t>
  </si>
  <si>
    <t>MOON</t>
  </si>
  <si>
    <t>LORDMOON</t>
  </si>
  <si>
    <t>ME</t>
  </si>
  <si>
    <t>VE</t>
  </si>
  <si>
    <t>MA</t>
  </si>
  <si>
    <t>JU</t>
  </si>
  <si>
    <t>POS</t>
  </si>
  <si>
    <t xml:space="preserve">SA </t>
  </si>
  <si>
    <t>LORD1</t>
  </si>
  <si>
    <t>LORDTIME</t>
  </si>
  <si>
    <t>DEGEXALT (3TA OR 19AR)</t>
  </si>
  <si>
    <t>Lum Time</t>
  </si>
  <si>
    <t>LUMTIME</t>
  </si>
  <si>
    <t>Lot of the Moon, Lot of Good Fortune</t>
  </si>
  <si>
    <t>Lot of the Sun, Lot of Mystery</t>
  </si>
  <si>
    <t>Part of Things to Come, Part of the Sun</t>
  </si>
  <si>
    <t>Arabic Parts Cited "Al-Qabisi (Alcabitius): The Introduction to Astrology," trans. Burnett, Yamamoto, and Yano. Warburg Institute 2004, pps. 141-155.</t>
  </si>
  <si>
    <t>Lot of Fortune</t>
  </si>
  <si>
    <t>not given</t>
  </si>
  <si>
    <t>Lot of the haylag</t>
  </si>
  <si>
    <t>same</t>
  </si>
  <si>
    <t>Lof of the absent</t>
  </si>
  <si>
    <t>Lot of love and affection</t>
  </si>
  <si>
    <t>L.Absent</t>
  </si>
  <si>
    <t>"The Lot of firmness, survival, the support of the ascendant, the splendour of the native and his growth is like the lot of love and affection"</t>
  </si>
  <si>
    <t>Lot of courage and boldness</t>
  </si>
  <si>
    <t>Lot of property</t>
  </si>
  <si>
    <t>Lord 2nd</t>
  </si>
  <si>
    <t>Lot of poverty and lack of means</t>
  </si>
  <si>
    <t>Lot of prosperity, overcoming and victory</t>
  </si>
  <si>
    <t>Lot of the death of brothers (If Saturn/rays =&gt; sub Jup)</t>
  </si>
  <si>
    <t>Lot of parents</t>
  </si>
  <si>
    <t>Lot of the death of parents</t>
  </si>
  <si>
    <t>Lot of grandfathers</t>
  </si>
  <si>
    <t>Lot of arable land and estates</t>
  </si>
  <si>
    <t>Lot of nobility of the native/whether he is a bastard</t>
  </si>
  <si>
    <t>Lord Time's Degree of Exaltation</t>
  </si>
  <si>
    <t>Lot of the outcomes of affairs</t>
  </si>
  <si>
    <t>Lot of the knowledge of the condition of the male child</t>
  </si>
  <si>
    <t>Lot of the knowledge of the condition of the female child</t>
  </si>
  <si>
    <t>Lot indicating the child when Jupiter reaches it</t>
  </si>
  <si>
    <t>Lot of illness and chronic disease</t>
  </si>
  <si>
    <t>Lot of slaves (Al-Andarzagar)</t>
  </si>
  <si>
    <t>Lot of slaves (Alcabitius)</t>
  </si>
  <si>
    <t>Lot of marriage of men (similar to lot of rumours)</t>
  </si>
  <si>
    <t>Lot of marriage of women a/c Hermes (sim lot cultivation)</t>
  </si>
  <si>
    <t>Lot of time of marriage</t>
  </si>
  <si>
    <t>Lot of joy and desire</t>
  </si>
  <si>
    <t>7th cusp</t>
  </si>
  <si>
    <t>Lot of the wedding</t>
  </si>
  <si>
    <t>Lot of death</t>
  </si>
  <si>
    <t>8th cusp</t>
  </si>
  <si>
    <t>Lord ASC</t>
  </si>
  <si>
    <t>Lot of the planet that kills</t>
  </si>
  <si>
    <t>Lot of the journey</t>
  </si>
  <si>
    <t>9th cusp</t>
  </si>
  <si>
    <t>Lot of the journey on water</t>
  </si>
  <si>
    <t>15Cancer</t>
  </si>
  <si>
    <t>Lot of piety</t>
  </si>
  <si>
    <t>Lot of authority and what work the native does</t>
  </si>
  <si>
    <t>Lot of rulership and authority</t>
  </si>
  <si>
    <t>Lot of the job and authority</t>
  </si>
  <si>
    <t>Lot indicating whether &lt;somebody's rule&gt; will come to pass or not</t>
  </si>
  <si>
    <t>Al-Andarzagar says the lot of friends is taken in the opposite way</t>
  </si>
  <si>
    <t>Lot indicating whether there is friendship and enmity</t>
  </si>
  <si>
    <t>Lot of enemies</t>
  </si>
  <si>
    <t>12th cusp</t>
  </si>
  <si>
    <t>Lot of enemies a/c some of the ancients</t>
  </si>
  <si>
    <t>Alcabitius</t>
  </si>
  <si>
    <t>Lot of bonds, imprisonment, and whether he will be saved from it or not</t>
  </si>
  <si>
    <t>Lot of the year in which one fears death, poverty, harm, and affliction for the native</t>
  </si>
  <si>
    <t>Lot indicating time in which children are born, their number, and whether male or female</t>
  </si>
  <si>
    <t>Lot by which one knows whether the native about whom a question was asked is male or female</t>
  </si>
  <si>
    <t>Note: Alchabitius lists this as a 2nd house part</t>
  </si>
  <si>
    <t>Note Alchabitius calls this P.Death of Siblings</t>
  </si>
  <si>
    <t>Lot of friends</t>
  </si>
  <si>
    <t>Diurnal/Nocturnal</t>
  </si>
  <si>
    <t>SUN</t>
  </si>
  <si>
    <t>Abu Ma'sar, The Abbreviation of the Introduction to Astrology, Arabic Translation, Chapter 6, p. 71-79</t>
  </si>
  <si>
    <t>Firmicus Maternus, Ancient Astrology Theory and Practice, pps. 135-137; 219-225.</t>
  </si>
  <si>
    <t>334 AD</t>
  </si>
  <si>
    <t>Arabic Parts Cited "A to Z Horoscope Maker and Delineator," by Llewellyn George, pps. 702-703</t>
  </si>
  <si>
    <t>1910 AD</t>
  </si>
  <si>
    <t>849-850 AD</t>
  </si>
  <si>
    <t>Abu Ma'sar, The Abbreviation of the Introduction to Astrology, Latin Translation, Chapter 6, p. 129-135</t>
  </si>
  <si>
    <t>Cehem of fortune and prosperity [L-3]</t>
  </si>
  <si>
    <t>Cehem of desire and companionship [L-6]</t>
  </si>
  <si>
    <t>Cehem of beauty, perfection, and youthfulness [L-7]</t>
  </si>
  <si>
    <t>Cehem of useless concern [L-8]</t>
  </si>
  <si>
    <t>Cehem of litigation and controvery [boldness] [L-9]</t>
  </si>
  <si>
    <t>Cehem of the observation of life [L-13]</t>
  </si>
  <si>
    <t>Cehem of wealth [L-14]</t>
  </si>
  <si>
    <t>Cehem of the death of the brothers [L-16]</t>
  </si>
  <si>
    <t>Cehem of the fathers [L-17] {if Saturn under rays, take Jupiter}</t>
  </si>
  <si>
    <t>Cehem of the grandfathers [L-19]</t>
  </si>
  <si>
    <t>Cehem of commons and shrubs [A-20]</t>
  </si>
  <si>
    <t>Cehem of the sons [L-22]</t>
  </si>
  <si>
    <t>Cehem of life [L-23], agrees with cehem of the sons</t>
  </si>
  <si>
    <t>Cehem of the Time of Sons [L-24]</t>
  </si>
  <si>
    <t>Cehem for knowing the properties of male children [L-25]</t>
  </si>
  <si>
    <t>Cehem of the condition of daughters [L-26]</t>
  </si>
  <si>
    <t>Cehem for determining before the birth of the child, whether it is masculine or feminine [L-27]</t>
  </si>
  <si>
    <t>Cehem of his own slaves [L-29]</t>
  </si>
  <si>
    <t>Cehem of illness, old age and death [L-28]</t>
  </si>
  <si>
    <t>Cehem of marriage of men a/c to Hermes [L-30]</t>
  </si>
  <si>
    <t>Cehem of marriage of men according to Valens [L-31]</t>
  </si>
  <si>
    <t>Cehem of death [L-36]</t>
  </si>
  <si>
    <t>Cehem of the journey [L-42]</t>
  </si>
  <si>
    <t>Cehem of hope [L-52]</t>
  </si>
  <si>
    <t>Cehem of marriage of women according to Hermes [L-32]</t>
  </si>
  <si>
    <t>Cehem of when the daughter will have to be given by the parents [L-34]</t>
  </si>
  <si>
    <t>Cehem of the star of killing [L-37]</t>
  </si>
  <si>
    <t>Cehem of the year suspected of death or illness [L-38]</t>
  </si>
  <si>
    <t>Cehem of finishing business [L-39]</t>
  </si>
  <si>
    <t>Cehem of very severe disease and the killness of a part of the body [L-40]</t>
  </si>
  <si>
    <t>Cehem of the voyage [L-43]</t>
  </si>
  <si>
    <t>Cehem of good sense and providence [L-44]</t>
  </si>
  <si>
    <t>Cehem concerning the truth and falsity of rumours [L-45]</t>
  </si>
  <si>
    <t>Cehem of slaves [L-46]</t>
  </si>
  <si>
    <t>Cehem of the nobility or baseness of the fetus [L-47]</t>
  </si>
  <si>
    <t>Cehem of the rule and the empire [L-48]</t>
  </si>
  <si>
    <t>Cehem of the profession of the royal child [L-49]</t>
  </si>
  <si>
    <t>Cehem of pride [L-51]</t>
  </si>
  <si>
    <t>Cehem of companions [L-53]</t>
  </si>
  <si>
    <t>Cehem of enemies[L-55]</t>
  </si>
  <si>
    <t>Cehem of absence [or non-appearance] [L-4]</t>
  </si>
  <si>
    <t>3rd Cent</t>
  </si>
  <si>
    <t>Dorotheus of Sidon, "Carmen Astrologicum"</t>
  </si>
  <si>
    <t xml:space="preserve">All the above and the following lots </t>
  </si>
  <si>
    <t>Arhat: Late Classical Astrology: Paulus Alexandrinus (c. 400 AD) and Olympiodorus (564 AD)</t>
  </si>
  <si>
    <t>AL-Biruni</t>
  </si>
  <si>
    <t>Marriage of Men (Hermes)</t>
  </si>
  <si>
    <t>Marriage (Valens)</t>
  </si>
  <si>
    <t>Trickery and deception of men and women</t>
  </si>
  <si>
    <t>Intercourse</t>
  </si>
  <si>
    <t>Marriage of women (Hermes)</t>
  </si>
  <si>
    <t>Marriage of women (Valens)</t>
  </si>
  <si>
    <t>Misconduct by women</t>
  </si>
  <si>
    <t>Trickery and deception of men by women</t>
  </si>
  <si>
    <t>Unchastity of women</t>
  </si>
  <si>
    <t/>
  </si>
  <si>
    <t>N</t>
  </si>
  <si>
    <t>Lot of Basis</t>
  </si>
  <si>
    <t>sun to mars</t>
  </si>
  <si>
    <t>Lot of Real Estate</t>
  </si>
  <si>
    <t>add lot of kingdom and authority</t>
  </si>
  <si>
    <t>lot of power or kingdom</t>
  </si>
  <si>
    <t>ita p. 320 lot of makign friends and enemies</t>
  </si>
  <si>
    <t>excellence, superiority, and '; lot of esteem between men</t>
  </si>
  <si>
    <t>great intro lot of honesty of the mind</t>
  </si>
  <si>
    <t>LOTS OF THE PLANETS</t>
  </si>
  <si>
    <t>Lot of Fortune or Lunar Horoscope</t>
  </si>
  <si>
    <t>Lot of Daemon and religion</t>
  </si>
  <si>
    <t>Lot of Future Things, of That Which is Hidden, or of the Sun</t>
  </si>
  <si>
    <t>Lot of Things to Come, Part of the Sun</t>
  </si>
  <si>
    <t>Lot of Captivity, prisons and escape therefrom</t>
  </si>
  <si>
    <t>Lot of Victory, triumph and aid</t>
  </si>
  <si>
    <t>Lot of Valour &amp; Bravery</t>
  </si>
  <si>
    <t>Lot of Mars</t>
  </si>
  <si>
    <t>Lot of Mars, Which is Called the Part of Daring</t>
  </si>
  <si>
    <t>Lot of Mercury, Part of despair &amp; penury &amp; fraud</t>
  </si>
  <si>
    <t>Lot of Mercury, Part of Poverty and Ordinary Intellect</t>
  </si>
  <si>
    <t>Lot of Venus, of friendship &amp; love, Pillar of Horoscope, Permanence, Constancy</t>
  </si>
  <si>
    <t>Lot of Delight, Concord, Stability, Trust, Love, and of Venus</t>
  </si>
  <si>
    <t>On the Heavy Lot which is Called Lot of Saturn</t>
  </si>
  <si>
    <t>Lot of Jupiter, Which is Called the Lot of Happiness</t>
  </si>
  <si>
    <t>Fortune</t>
  </si>
  <si>
    <t>Spirit</t>
  </si>
  <si>
    <t>Lot of Fortune or the Moon</t>
  </si>
  <si>
    <t>Dykes</t>
  </si>
  <si>
    <r>
      <t xml:space="preserve">VI.1.1: Lot of Fortune or the Moon, </t>
    </r>
    <r>
      <rPr>
        <b/>
        <i/>
        <sz val="10"/>
        <rFont val="Arial"/>
        <family val="2"/>
      </rPr>
      <t>ITA pp. 281-283</t>
    </r>
  </si>
  <si>
    <r>
      <t xml:space="preserve">VI.1.2: Lot of Spirit or the Sun, </t>
    </r>
    <r>
      <rPr>
        <b/>
        <i/>
        <sz val="10"/>
        <rFont val="Arial"/>
        <family val="2"/>
      </rPr>
      <t>ITA p. 284</t>
    </r>
  </si>
  <si>
    <t>LOT OF SPIRIT or THE SUN</t>
  </si>
  <si>
    <t>LOT OF FORTUNE or THE MOON</t>
  </si>
  <si>
    <t>Lot of Spirit or the Sun</t>
  </si>
  <si>
    <t>LOT OF EROS or VENUS (VALENS)</t>
  </si>
  <si>
    <t>Lot of Eros or Venus (Valens)</t>
  </si>
  <si>
    <r>
      <t xml:space="preserve">Lot of Eros or Venus (Paulus) </t>
    </r>
    <r>
      <rPr>
        <b/>
        <u val="single"/>
        <sz val="10"/>
        <rFont val="Arial"/>
        <family val="2"/>
      </rPr>
      <t>preferred</t>
    </r>
  </si>
  <si>
    <t>LOT OF BASIS</t>
  </si>
  <si>
    <t>LOT OF NECESSITY or MERCURY (VALENS)</t>
  </si>
  <si>
    <r>
      <t xml:space="preserve">VI.1.5.: The Lot of Necessity or Mercury (Valens), </t>
    </r>
    <r>
      <rPr>
        <b/>
        <i/>
        <sz val="10"/>
        <rFont val="Arial"/>
        <family val="2"/>
      </rPr>
      <t>ITA pp. 286-287</t>
    </r>
  </si>
  <si>
    <t>Lot of Necessity or Mercury (Valens)</t>
  </si>
  <si>
    <r>
      <t xml:space="preserve">Lot of Necessity or Mercury (Paulus) </t>
    </r>
    <r>
      <rPr>
        <b/>
        <u val="single"/>
        <sz val="10"/>
        <rFont val="Arial"/>
        <family val="2"/>
      </rPr>
      <t>preferred</t>
    </r>
  </si>
  <si>
    <t>LOT OF COURAGE or MARS</t>
  </si>
  <si>
    <r>
      <t xml:space="preserve">VI.1.6: The Lot of Courage or Mars, </t>
    </r>
    <r>
      <rPr>
        <b/>
        <i/>
        <sz val="10"/>
        <rFont val="Arial"/>
        <family val="2"/>
      </rPr>
      <t>ITA p. 287</t>
    </r>
  </si>
  <si>
    <t>Lot of Courage or Mars</t>
  </si>
  <si>
    <r>
      <t>VI.1.7: The Lot of Victory or Jupiter,</t>
    </r>
    <r>
      <rPr>
        <b/>
        <i/>
        <sz val="10"/>
        <rFont val="Arial"/>
        <family val="2"/>
      </rPr>
      <t xml:space="preserve"> ITA p. 288</t>
    </r>
  </si>
  <si>
    <t>LOT OF VICTORY or JUPITER</t>
  </si>
  <si>
    <t>Lot of Victory or Jupiter</t>
  </si>
  <si>
    <t>Lot of Nemesis or Saturn</t>
  </si>
  <si>
    <r>
      <t xml:space="preserve">VI.1.8: Lot of Nemesis or Saturn, </t>
    </r>
    <r>
      <rPr>
        <b/>
        <i/>
        <sz val="10"/>
        <rFont val="Arial"/>
        <family val="2"/>
      </rPr>
      <t>ITA pp. 288-289</t>
    </r>
  </si>
  <si>
    <t>LOT OF NEMESIS or SATURN</t>
  </si>
  <si>
    <r>
      <t xml:space="preserve">VI.1.3: The Lot of Eros or Venus (Valens), </t>
    </r>
    <r>
      <rPr>
        <b/>
        <i/>
        <sz val="10"/>
        <rFont val="Arial"/>
        <family val="2"/>
      </rPr>
      <t>ITA p. 285</t>
    </r>
  </si>
  <si>
    <t>LOT OF LIFE</t>
  </si>
  <si>
    <r>
      <t xml:space="preserve">VI.2.1: The Lot of life, </t>
    </r>
    <r>
      <rPr>
        <b/>
        <i/>
        <sz val="10"/>
        <rFont val="Arial"/>
        <family val="2"/>
      </rPr>
      <t>ITA p. 290</t>
    </r>
  </si>
  <si>
    <t>Lot of Venus, Lot of Stature and Beauty</t>
  </si>
  <si>
    <t>Lot of Durability and Stability, Security of the Ascendant</t>
  </si>
  <si>
    <t>LOT OF THE RELEASER or HILAJ</t>
  </si>
  <si>
    <r>
      <t xml:space="preserve">VI.2.2: The Lot of the releaser or hilaj, </t>
    </r>
    <r>
      <rPr>
        <b/>
        <i/>
        <sz val="10"/>
        <rFont val="Arial"/>
        <family val="2"/>
      </rPr>
      <t>ITA pp. 290-291</t>
    </r>
  </si>
  <si>
    <t>LOT OF REASON AND STRATEGY</t>
  </si>
  <si>
    <t>Lot of Reasoning &amp; eloquence</t>
  </si>
  <si>
    <t>Lot of Reason and Sense, Thought and Speech</t>
  </si>
  <si>
    <t>Hilaj</t>
  </si>
  <si>
    <t>Lot of the Hyleg</t>
  </si>
  <si>
    <t>Lot of the Hyleg, pars hyleg</t>
  </si>
  <si>
    <t>NOTE: Al Biruni, Ibn Ezra, and Bonatti classify this as a 4th house lot.  In keeping with Dykes, I am classifying it as a 1st house lot.</t>
  </si>
  <si>
    <t>Lot of Ancestors &amp; relations</t>
  </si>
  <si>
    <t>Lot of Relations or of Kindred or Excellence</t>
  </si>
  <si>
    <t>Lot of Origins and Condition</t>
  </si>
  <si>
    <t>LOT OF ORIGINS and CONDITION</t>
  </si>
  <si>
    <r>
      <t xml:space="preserve">VI.2.3: The Lot of Origins and Condition, </t>
    </r>
    <r>
      <rPr>
        <b/>
        <i/>
        <sz val="10"/>
        <rFont val="Arial"/>
        <family val="2"/>
      </rPr>
      <t>ITA, p. 292</t>
    </r>
  </si>
  <si>
    <t>LOTS OF THE 1ST HOUSE</t>
  </si>
  <si>
    <t>LOTS OF THE SECOND HOUSE</t>
  </si>
  <si>
    <t>LOTS OF THE THIRD HOUSE</t>
  </si>
  <si>
    <t>LOTS OF THE FOURTH HOUSE</t>
  </si>
  <si>
    <t>LOTS OF THE FIFTH HOUSE</t>
  </si>
  <si>
    <t>LOTS OF THE SIXTH HOUSE</t>
  </si>
  <si>
    <t>LOTS OF THE SEVENTH HOUSE</t>
  </si>
  <si>
    <t>LOTS OF THE EIGHTH HOUSE</t>
  </si>
  <si>
    <t>LOTS OF THE NINTH HOUSE</t>
  </si>
  <si>
    <t>LOTS OF THE TENTH HOUSE</t>
  </si>
  <si>
    <t>LOTS OF THE ELEVENTH HOUSE</t>
  </si>
  <si>
    <t>LOTS OF THE TWELTH HOUSE</t>
  </si>
  <si>
    <t>LOT OF ASSETS</t>
  </si>
  <si>
    <r>
      <t xml:space="preserve">VI.2.4: The Lot of Assets, </t>
    </r>
    <r>
      <rPr>
        <b/>
        <i/>
        <sz val="10"/>
        <rFont val="Arial"/>
        <family val="2"/>
      </rPr>
      <t>ITA pp. 292-293</t>
    </r>
  </si>
  <si>
    <t>LOT OF DEBT</t>
  </si>
  <si>
    <t>Lot of Moneylenders</t>
  </si>
  <si>
    <t>LOT OF HAPPINESS</t>
  </si>
  <si>
    <t>LOT OF COLLECTING</t>
  </si>
  <si>
    <t>Lot of Blessedness, Jupiter, Triumph and Victory</t>
  </si>
  <si>
    <t>Lot of Treasure Trove</t>
  </si>
  <si>
    <t>Lot of Collection</t>
  </si>
  <si>
    <t>Lot of Trade</t>
  </si>
  <si>
    <t>Lot of Assets</t>
  </si>
  <si>
    <r>
      <t xml:space="preserve">VI.2.5: The Lot of brothers, </t>
    </r>
    <r>
      <rPr>
        <b/>
        <i/>
        <sz val="10"/>
        <rFont val="Arial"/>
        <family val="2"/>
      </rPr>
      <t>ITA p. 293</t>
    </r>
  </si>
  <si>
    <t>LOT OF NUMBER OF SIBLINGS</t>
  </si>
  <si>
    <t>Lot of the Number of Siblings</t>
  </si>
  <si>
    <r>
      <t xml:space="preserve">VI.2.6: The Lot of the death of the brothers, </t>
    </r>
    <r>
      <rPr>
        <b/>
        <i/>
        <sz val="10"/>
        <rFont val="Arial"/>
        <family val="2"/>
      </rPr>
      <t>ITA p. 294</t>
    </r>
  </si>
  <si>
    <t>Note: The following are supplemental lots not included in the Lot Report.</t>
  </si>
  <si>
    <t>Lot of Death of Siblings</t>
  </si>
  <si>
    <t>LOT OF SIBLINGS</t>
  </si>
  <si>
    <t>LOT OF DEATH OF SIBLINGS</t>
  </si>
  <si>
    <t xml:space="preserve">LOT OF THE FATHER  </t>
  </si>
  <si>
    <r>
      <t>VI.2.7: The Lot of the Father,</t>
    </r>
    <r>
      <rPr>
        <b/>
        <i/>
        <sz val="10"/>
        <rFont val="Arial"/>
        <family val="2"/>
      </rPr>
      <t xml:space="preserve"> ITA p. 294</t>
    </r>
  </si>
  <si>
    <t>Lot of Parents (mentions Ju as alt to Sun)</t>
  </si>
  <si>
    <t>Lot of the father {if Saturn under rays, take Jupiter}</t>
  </si>
  <si>
    <t>LOT OF DEATH OF THE FATHER</t>
  </si>
  <si>
    <r>
      <t xml:space="preserve">VI.2.8: The Lot of the death of the parents, </t>
    </r>
    <r>
      <rPr>
        <b/>
        <i/>
        <sz val="10"/>
        <rFont val="Arial"/>
        <family val="2"/>
      </rPr>
      <t>ITA pp. 295-296</t>
    </r>
  </si>
  <si>
    <t>Lot of Death of Parents</t>
  </si>
  <si>
    <t>Lot of the death of the father</t>
  </si>
  <si>
    <t>LOT OF GRANDFATHERS</t>
  </si>
  <si>
    <r>
      <t>VI.2.9: The Lot of Grandfathers,</t>
    </r>
    <r>
      <rPr>
        <b/>
        <i/>
        <sz val="10"/>
        <rFont val="Arial"/>
        <family val="2"/>
      </rPr>
      <t xml:space="preserve"> ITA, pp. 296-297</t>
    </r>
  </si>
  <si>
    <t>* For the Lot of Grandfathers, should the Sun fall in Leo, Aquarius, or Capricorn; Bonatti's lot variations are used</t>
  </si>
  <si>
    <t>which are taken from Abu Mashar's Great Introduction.</t>
  </si>
  <si>
    <t>Abu Ma'shar's Great Introduction.  However Abu Ma'shar is himself inconsistent for the instance when the Sun</t>
  </si>
  <si>
    <t>is placed in Leo.  In The Great Introduction, he uses the formula listed above as Bonatti's variation; In the Abbreviation he does not.</t>
  </si>
  <si>
    <t>In the Abbreviation for the Sun in Leo, Abu Ma'shar uses the same formula as if the Sun were in Capricorn or Aquarius.</t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</si>
  <si>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 As Dykes's ITA shows, Bonatti's variations for the Sun in Leo, Capricorn, or Aquarius are taken from</t>
    </r>
  </si>
  <si>
    <t>Lot of Grandfathers - if Sun in Leo</t>
  </si>
  <si>
    <t>Lot of Grandfathers - if Sun in Capricorn or Aquarius</t>
  </si>
  <si>
    <t>LOT OF REAL ESTATE</t>
  </si>
  <si>
    <r>
      <t>VI.2.10: The Lot of Real Estate,</t>
    </r>
    <r>
      <rPr>
        <b/>
        <i/>
        <sz val="10"/>
        <rFont val="Arial"/>
        <family val="2"/>
      </rPr>
      <t xml:space="preserve"> ITA p. 297</t>
    </r>
  </si>
  <si>
    <t>Lot of Real estate a/c to Hermes</t>
  </si>
  <si>
    <t>Lot of Inheritances or Possessions a/c Hermes</t>
  </si>
  <si>
    <t>LOT OF REAL ESTATE (or inheritance a/c Persians)</t>
  </si>
  <si>
    <t>Lot of Real estate a/c to some Persians</t>
  </si>
  <si>
    <t>Lot of Inheritances a/c to the Persians</t>
  </si>
  <si>
    <t>LOT OF CULTIVATION</t>
  </si>
  <si>
    <r>
      <t xml:space="preserve">VI.2.11: The Lot of cultivation, </t>
    </r>
    <r>
      <rPr>
        <b/>
        <i/>
        <sz val="10"/>
        <rFont val="Arial"/>
        <family val="2"/>
      </rPr>
      <t>ITA p. 298</t>
    </r>
  </si>
  <si>
    <t>LOT OF THE END OF MATTERS</t>
  </si>
  <si>
    <r>
      <t xml:space="preserve">VI.2.12: The Lot of the end of matters, </t>
    </r>
    <r>
      <rPr>
        <b/>
        <i/>
        <sz val="10"/>
        <rFont val="Arial"/>
        <family val="2"/>
      </rPr>
      <t>ITA p. 298</t>
    </r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</si>
  <si>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Bonatti also classifies this lot as a 4th house lot because of the connection to father and ancestry.</t>
    </r>
  </si>
  <si>
    <t>Lot of Cultivation</t>
  </si>
  <si>
    <t>Lot of the End of Matters</t>
  </si>
  <si>
    <t>Lot of Agriculture &amp; Tillage</t>
  </si>
  <si>
    <t>Lot of Issue of Affairs</t>
  </si>
  <si>
    <t xml:space="preserve">LOT OF CHILDREN   </t>
  </si>
  <si>
    <r>
      <t xml:space="preserve">VI.2.13: The Lot of children, </t>
    </r>
    <r>
      <rPr>
        <b/>
        <i/>
        <sz val="10"/>
        <rFont val="Arial"/>
        <family val="2"/>
      </rPr>
      <t>ITA pp. 299-300</t>
    </r>
  </si>
  <si>
    <t>LOT OF THE TIME OF CHILDREN</t>
  </si>
  <si>
    <r>
      <t xml:space="preserve">VI.2.14: The Lot of the time of children, </t>
    </r>
    <r>
      <rPr>
        <b/>
        <i/>
        <sz val="10"/>
        <rFont val="Arial"/>
        <family val="2"/>
      </rPr>
      <t>ITA pp. 300-301</t>
    </r>
  </si>
  <si>
    <t>Lot of the Time of Children</t>
  </si>
  <si>
    <t>Lot of Children (Venus alt to Jupiter)</t>
  </si>
  <si>
    <t>Lot of Time and no. of sexes</t>
  </si>
  <si>
    <t>Lot of the Hour in which the child will be Born</t>
  </si>
  <si>
    <t>LOT OF MALE CHILDREN</t>
  </si>
  <si>
    <r>
      <t xml:space="preserve">VI.2.15: The Lot of male children, </t>
    </r>
    <r>
      <rPr>
        <b/>
        <i/>
        <sz val="10"/>
        <rFont val="Arial"/>
        <family val="2"/>
      </rPr>
      <t>ITA pp. 301-302</t>
    </r>
  </si>
  <si>
    <t>Lot of Condition of Males (Mars probably mistake)</t>
  </si>
  <si>
    <t>Lot of Male Children (also related to fortune)</t>
  </si>
  <si>
    <t>is probably related to success in games of chance as speculation is assigned to the 5th house.</t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</si>
  <si>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Abu Ma'shar's characterization of this lot in Great Introduction as assisting with the Lot of Fortune</t>
    </r>
  </si>
  <si>
    <t>LOT OF FEMALE CHILDREN</t>
  </si>
  <si>
    <r>
      <t xml:space="preserve">VI.2.16: The Lot of female children, </t>
    </r>
    <r>
      <rPr>
        <b/>
        <i/>
        <sz val="10"/>
        <rFont val="Arial"/>
        <family val="2"/>
      </rPr>
      <t>ITA p. 302</t>
    </r>
  </si>
  <si>
    <t>Lot of Female Children</t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</si>
  <si>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This lot is presented for use in horary applications, not natal applications.</t>
    </r>
  </si>
  <si>
    <r>
      <t xml:space="preserve">VI.2.17: The Lot of a child's sex, </t>
    </r>
    <r>
      <rPr>
        <b/>
        <i/>
        <sz val="10"/>
        <rFont val="Arial"/>
        <family val="2"/>
      </rPr>
      <t>ITA p. 303</t>
    </r>
  </si>
  <si>
    <t>Lot of Condition of Females</t>
  </si>
  <si>
    <t>Lot of Condition of Daughters</t>
  </si>
  <si>
    <t>LOT OF A CHILD'S SEX</t>
  </si>
  <si>
    <t>Lot of a Child's Sex (horary lot)</t>
  </si>
  <si>
    <t>Lot as to whether expected birth male or female</t>
  </si>
  <si>
    <t>LOT OF DELIGHT</t>
  </si>
  <si>
    <t>Note: This is the same as the Lot of Women's marriage a/c Hermes listed as a 7th house lot.</t>
  </si>
  <si>
    <r>
      <t xml:space="preserve">VI.2.18: The Lot of Delight, </t>
    </r>
    <r>
      <rPr>
        <b/>
        <i/>
        <sz val="10"/>
        <rFont val="Arial"/>
        <family val="2"/>
      </rPr>
      <t>ITA p. 303</t>
    </r>
  </si>
  <si>
    <t>LOT OF CHRONIC ILLNESS</t>
  </si>
  <si>
    <r>
      <t xml:space="preserve">VI.2.19: The Lot of chronic illness, </t>
    </r>
    <r>
      <rPr>
        <b/>
        <i/>
        <sz val="10"/>
        <rFont val="Arial"/>
        <family val="2"/>
      </rPr>
      <t>ITA p. 303</t>
    </r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</si>
  <si>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This is the same as the Lot of Reason and Strategy listed as a 1st house lot.</t>
    </r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</si>
  <si>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This lot is the oppositie of the Lot of Religion and Lot of Friends</t>
    </r>
  </si>
  <si>
    <t>Lot of Disease, defects, time of onset of them a/c Hermes</t>
  </si>
  <si>
    <t>Lot of Infirmities, Accidents, and Inseparable Defects</t>
  </si>
  <si>
    <t>Lot of Disease a/c to some of the ancients</t>
  </si>
  <si>
    <t>Lot of Infirmities both Separable and Inseparable</t>
  </si>
  <si>
    <t>Lot of Servants and the Law</t>
  </si>
  <si>
    <t>Lot of Slaves a/c to Alchabitius &amp; Theophilus</t>
  </si>
  <si>
    <t>Lot of Slaves a/c to Hermes</t>
  </si>
  <si>
    <t>Lot of Chronic Illness</t>
  </si>
  <si>
    <t>Lot of Captives and the Fettered - Diurnal Figures</t>
  </si>
  <si>
    <t>Lot of captives and the conquered - Nocturnal Figures</t>
  </si>
  <si>
    <t>LOT OF CAPTIVITY</t>
  </si>
  <si>
    <t>LOT OF SLAVES</t>
  </si>
  <si>
    <t>LOT OF ILLNESS A/C TO SOME OF THE ANCIENTS</t>
  </si>
  <si>
    <t>Lot of Men's and Women's Marriage a/c Hermes</t>
  </si>
  <si>
    <t>Lot of Enjoyment and Delight</t>
  </si>
  <si>
    <t xml:space="preserve">Note: Empirical testing supports reversing this lot for nocturnal figures </t>
  </si>
  <si>
    <t>Example.  d.s.a. Mercury conj LOF for 1st marriage of Leopold Stokowski</t>
  </si>
  <si>
    <t>Lot of the Hour of Marriage (same as LOF day formula)</t>
  </si>
  <si>
    <t>LOT OF MEN'S MARRIAGE (HERMES)</t>
  </si>
  <si>
    <t>Lot of Men's Marriage (Hermes)</t>
  </si>
  <si>
    <t>LOT OF MALE INTERCOURSE</t>
  </si>
  <si>
    <r>
      <t xml:space="preserve">VI.2.22: The Lot of men's marriage (Valens), </t>
    </r>
    <r>
      <rPr>
        <b/>
        <i/>
        <sz val="10"/>
        <rFont val="Arial"/>
        <family val="2"/>
      </rPr>
      <t>ITA p. 306</t>
    </r>
  </si>
  <si>
    <t xml:space="preserve">LOT OF WOMEN'S MARRIAGE (HERMES) </t>
  </si>
  <si>
    <t>Lot of Women's Marriage (Hermes)</t>
  </si>
  <si>
    <r>
      <t>VI.2.24: The Lot of women's marriage (Valens),</t>
    </r>
    <r>
      <rPr>
        <b/>
        <i/>
        <sz val="10"/>
        <rFont val="Arial"/>
        <family val="2"/>
      </rPr>
      <t xml:space="preserve"> ITA p. 307</t>
    </r>
  </si>
  <si>
    <r>
      <t xml:space="preserve">VI.2.25: The Lot of the time of marriage, </t>
    </r>
    <r>
      <rPr>
        <b/>
        <i/>
        <sz val="10"/>
        <rFont val="Arial"/>
        <family val="2"/>
      </rPr>
      <t>ITA, pp. 307-308</t>
    </r>
  </si>
  <si>
    <t>LOT OF THE TIME OF MARRIAGE</t>
  </si>
  <si>
    <t xml:space="preserve">LOT OF MARRIAGE  </t>
  </si>
  <si>
    <r>
      <t xml:space="preserve">VI.2.26: The Lot of delight and pleasure, </t>
    </r>
    <r>
      <rPr>
        <b/>
        <i/>
        <sz val="10"/>
        <rFont val="Arial"/>
        <family val="2"/>
      </rPr>
      <t>ITA p. 308</t>
    </r>
  </si>
  <si>
    <t>Note: Abu Ma'shar's Great Introduction says this lot relates to the sister not the father-in-law suggesting Bonnati made an error in translation.</t>
  </si>
  <si>
    <t>Following Lots not included in the Report</t>
  </si>
  <si>
    <t>LOT OF SONS-IN-LAW</t>
  </si>
  <si>
    <t>LOT OF FATHERS-IN-LAW</t>
  </si>
  <si>
    <t>Note: this lot is included in the Great Introduction</t>
  </si>
  <si>
    <t>Lot of Contenders and of Contentions</t>
  </si>
  <si>
    <t>Lot of the Woman's Religion and Honesty</t>
  </si>
  <si>
    <t>LOT OF CHASTITY OF WOMEN</t>
  </si>
  <si>
    <t>LOT OF LAWSUITS</t>
  </si>
  <si>
    <t>LOT OF CHASTITY OF MEN</t>
  </si>
  <si>
    <t>LOT OF ADULTERY IN MARRIAGE</t>
  </si>
  <si>
    <t>Lot of Chastity of Men</t>
  </si>
  <si>
    <t>Lot of Contention and Jealousy</t>
  </si>
  <si>
    <t>Lot of Skill and Ease of Arranging a Marriage</t>
  </si>
  <si>
    <t>Note: Abu Ma'shar calls this lot "cleverness and easiness" in his Great Introduction</t>
  </si>
  <si>
    <t>Lot of Marriage of women (Vellius) - (?)</t>
  </si>
  <si>
    <t>Lot of Men's Marriage (Valens)</t>
  </si>
  <si>
    <t>Lot of Cleverness and Skill of Men towrad Women</t>
  </si>
  <si>
    <t>Lot of Men's Sexual Intercourse with Women</t>
  </si>
  <si>
    <t>Lot of Luxury and Men's Fornication</t>
  </si>
  <si>
    <t>Lot of Women's Skill and Cleverness toward Men</t>
  </si>
  <si>
    <t>Lot of Women's Licentiousness and their Shamefulness</t>
  </si>
  <si>
    <t>Lot of fathers-in-law</t>
  </si>
  <si>
    <t>LOT OF DEATH</t>
  </si>
  <si>
    <t>Lot of Danger and Violence</t>
  </si>
  <si>
    <t>Lot of the Heavy Place</t>
  </si>
  <si>
    <t>Lot of Place of Murder and Sickness</t>
  </si>
  <si>
    <t>Lot of the Year to be feared at birth for death, famine</t>
  </si>
  <si>
    <t>Lot of the Year in Which Death is Feared, the Impediment of Poverty or Destruction</t>
  </si>
  <si>
    <t>Lot of the Year in which Death is Feared for the Native</t>
  </si>
  <si>
    <r>
      <t xml:space="preserve">VI.2.27: The Lot of death, </t>
    </r>
    <r>
      <rPr>
        <b/>
        <i/>
        <sz val="10"/>
        <rFont val="Arial"/>
        <family val="2"/>
      </rPr>
      <t>ITA, pp. 308-309</t>
    </r>
  </si>
  <si>
    <r>
      <t xml:space="preserve">VI.2.28: The Lot of the killing planet, </t>
    </r>
    <r>
      <rPr>
        <b/>
        <i/>
        <sz val="10"/>
        <rFont val="Arial"/>
        <family val="2"/>
      </rPr>
      <t>ITA pp. 309-310</t>
    </r>
  </si>
  <si>
    <r>
      <t>VI.2.29: The Lot of the suspected year,</t>
    </r>
    <r>
      <rPr>
        <b/>
        <i/>
        <sz val="10"/>
        <rFont val="Arial"/>
        <family val="2"/>
      </rPr>
      <t xml:space="preserve"> ITA pp. 310-311</t>
    </r>
  </si>
  <si>
    <t>LOT OF THE SUSPECTED YEAR</t>
  </si>
  <si>
    <t>LOT OF THE  KILLING PLANET</t>
  </si>
  <si>
    <t>Lot of the Suspected Year</t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</si>
  <si>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This lot is identical to the Lot of Origins and Condition</t>
    </r>
  </si>
  <si>
    <t>LOT OF THE OPPRESSIVE PLACE</t>
  </si>
  <si>
    <r>
      <t xml:space="preserve">VI.2.30: The Lot of the oppressive place, </t>
    </r>
    <r>
      <rPr>
        <b/>
        <i/>
        <sz val="10"/>
        <rFont val="Arial"/>
        <family val="2"/>
      </rPr>
      <t>ITA p. 311</t>
    </r>
  </si>
  <si>
    <t>Lot of the Oppressive Place</t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</si>
  <si>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Abu Ma'shar names this lot 'being burdened and preoccupied' in his Great Introduction</t>
    </r>
  </si>
  <si>
    <t>LOT OF BEING BURDENED AND PREOCCUPIED</t>
  </si>
  <si>
    <t>Lot of Being Burdened and Preoccupied</t>
  </si>
  <si>
    <t>LOT OF TRAVEL</t>
  </si>
  <si>
    <t>Lot of Journeys by Land</t>
  </si>
  <si>
    <t>Lot of Pilgrimage</t>
  </si>
  <si>
    <t>Lot of Journeys by Water</t>
  </si>
  <si>
    <t>Lot of Journey and Pilgrimage by Water</t>
  </si>
  <si>
    <t>Lot of Religion</t>
  </si>
  <si>
    <t>Lot of Prayer [or Oration] and Profound Counsel</t>
  </si>
  <si>
    <t>LOT OF HISTORY, RUMORS, AND FABLES</t>
  </si>
  <si>
    <t>Lot of Histories and Knowledge, Rumors and Stories</t>
  </si>
  <si>
    <t>Lot of Rumors (whether they are true or false)</t>
  </si>
  <si>
    <r>
      <t xml:space="preserve">VI.2.31: The Lot of travel, </t>
    </r>
    <r>
      <rPr>
        <b/>
        <i/>
        <sz val="10"/>
        <rFont val="Arial"/>
        <family val="2"/>
      </rPr>
      <t>ITA p. 312</t>
    </r>
  </si>
  <si>
    <r>
      <t xml:space="preserve">VI.2.32: The Lot of Navigation, </t>
    </r>
    <r>
      <rPr>
        <b/>
        <i/>
        <sz val="10"/>
        <rFont val="Arial"/>
        <family val="2"/>
      </rPr>
      <t>ITA pp. 312-313</t>
    </r>
  </si>
  <si>
    <t>LOT OF NAVIGATION</t>
  </si>
  <si>
    <t>LOT OF INTELLECT AND PROFOUND THOUGHT</t>
  </si>
  <si>
    <r>
      <t xml:space="preserve">VI.2.33: The Lot of intellect and profound thought, </t>
    </r>
    <r>
      <rPr>
        <b/>
        <i/>
        <sz val="10"/>
        <rFont val="Arial"/>
        <family val="2"/>
      </rPr>
      <t>ITA p. 313</t>
    </r>
  </si>
  <si>
    <t>LOT OF WISDOM</t>
  </si>
  <si>
    <r>
      <t xml:space="preserve">VI.2.34: The Lot of wisdom, </t>
    </r>
    <r>
      <rPr>
        <b/>
        <i/>
        <sz val="10"/>
        <rFont val="Arial"/>
        <family val="2"/>
      </rPr>
      <t>ITA pp. 313-314</t>
    </r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</si>
  <si>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the calculation is the same as the Lot of Slaves</t>
    </r>
  </si>
  <si>
    <r>
      <t xml:space="preserve">VI.2.35: The Lot of the truth and falsity of rumors, </t>
    </r>
    <r>
      <rPr>
        <b/>
        <i/>
        <sz val="10"/>
        <rFont val="Arial"/>
        <family val="2"/>
      </rPr>
      <t>ITA p. 314</t>
    </r>
  </si>
  <si>
    <t>LOT OF THE TRUTH AND FALSITY OF RUMORS</t>
  </si>
  <si>
    <t>Lot of Navigation</t>
  </si>
  <si>
    <t>Lot of Intellect and Profound Thought</t>
  </si>
  <si>
    <t>Lot of the Truth and Falsity of Rumors (horary lot)</t>
  </si>
  <si>
    <t>LOT OF RELIGION</t>
  </si>
  <si>
    <r>
      <t xml:space="preserve">VI.2.36: The Lot of Religion, </t>
    </r>
    <r>
      <rPr>
        <b/>
        <i/>
        <sz val="10"/>
        <rFont val="Arial"/>
        <family val="2"/>
      </rPr>
      <t>ITA p. 315</t>
    </r>
  </si>
  <si>
    <t>LOT OF NOBILITY</t>
  </si>
  <si>
    <t>Lott of Nobility</t>
  </si>
  <si>
    <t>Lot of  Kingdom</t>
  </si>
  <si>
    <t>Lot of Kingship and Kings and Dispositors</t>
  </si>
  <si>
    <t>Lot of a Kingdom and Victory and Aid</t>
  </si>
  <si>
    <t>LOT OF SUDDEN ADVANCEMENT</t>
  </si>
  <si>
    <t>Lot of Those Suddenly Made Lofty</t>
  </si>
  <si>
    <t>LOT OF PHILANTHROPY AND HONOR AMONG MEN</t>
  </si>
  <si>
    <t>Lot of Nobles (and of those who are noted among men)</t>
  </si>
  <si>
    <t>LOT OF SOLDIERS AND MINISTERS</t>
  </si>
  <si>
    <t>Lot of the Kingship or of the King (P.Inheritance)</t>
  </si>
  <si>
    <t>Lot of Kings (and what a native might do my means of works)</t>
  </si>
  <si>
    <t>LOT OF MANUAL DEXTERITY IN THE ARTS</t>
  </si>
  <si>
    <t>Lot of Businessmen and Those Working with Their Hands</t>
  </si>
  <si>
    <t>Lot of the Business of Buying and Selling</t>
  </si>
  <si>
    <t>LOT OF WORK WHICH MUST BE DONE</t>
  </si>
  <si>
    <t>Lot of Work (and of a matter which it is necessary that it come to be wholly)</t>
  </si>
  <si>
    <t>LOT OF THE MOTHER</t>
  </si>
  <si>
    <t>Lot of Mothers</t>
  </si>
  <si>
    <t>LOT OF DEATH OF THE MOTHER</t>
  </si>
  <si>
    <t>Lot of the Death of the Mother</t>
  </si>
  <si>
    <t>Lot Signifying Whether There is a Reason for a Kingdom or Not</t>
  </si>
  <si>
    <t>LOT OF CELEBRATED PERSONS OF RANK</t>
  </si>
  <si>
    <r>
      <t>VI.2.37: The Lot of nobility,</t>
    </r>
    <r>
      <rPr>
        <b/>
        <i/>
        <sz val="10"/>
        <rFont val="Arial"/>
        <family val="2"/>
      </rPr>
      <t xml:space="preserve"> ITA pp. 315-316</t>
    </r>
  </si>
  <si>
    <r>
      <t xml:space="preserve">VI.2.38: The Lot of the kingdom and authority, </t>
    </r>
    <r>
      <rPr>
        <b/>
        <i/>
        <sz val="10"/>
        <rFont val="Arial"/>
        <family val="2"/>
      </rPr>
      <t>ITA pp. 316-317</t>
    </r>
  </si>
  <si>
    <t>LOT OF THE KINGDOM AND AUTHORITY</t>
  </si>
  <si>
    <t>Lot of the Kingdom and Authority</t>
  </si>
  <si>
    <t>LOT OF POWER OR KINGDOM OR SUPREMACY</t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</si>
  <si>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same as Lot of Father if Saturn is not under the sunbeams</t>
    </r>
  </si>
  <si>
    <r>
      <t xml:space="preserve">VI.2.39: The Lot of Power or Kingdom or Supremacy, </t>
    </r>
    <r>
      <rPr>
        <b/>
        <i/>
        <sz val="10"/>
        <rFont val="Arial"/>
        <family val="2"/>
      </rPr>
      <t>ITA p. 317</t>
    </r>
  </si>
  <si>
    <t>Lot of Power or Kingdom or Supremacy</t>
  </si>
  <si>
    <r>
      <t xml:space="preserve">VI.2.40: The Lot of authority and what a native does, </t>
    </r>
    <r>
      <rPr>
        <b/>
        <i/>
        <sz val="10"/>
        <rFont val="Arial"/>
        <family val="2"/>
      </rPr>
      <t>ITA, pp. 317-318</t>
    </r>
  </si>
  <si>
    <t>LOT OF AUTHORITY AND WHAT A NATIVE DOES</t>
  </si>
  <si>
    <t>Lot of Authority and What a Native Does</t>
  </si>
  <si>
    <r>
      <t>VI.2.41: The Lot of the Mother,</t>
    </r>
    <r>
      <rPr>
        <b/>
        <i/>
        <sz val="10"/>
        <rFont val="Arial"/>
        <family val="2"/>
      </rPr>
      <t xml:space="preserve"> ITA p. 318</t>
    </r>
  </si>
  <si>
    <t>LOT OF A JOB AND AUTHORITY (VALENS)</t>
  </si>
  <si>
    <t>Lot of Work and Majestry</t>
  </si>
  <si>
    <r>
      <t xml:space="preserve">VI.2.42: The Lot of a job and authority (Valens), </t>
    </r>
    <r>
      <rPr>
        <b/>
        <i/>
        <sz val="10"/>
        <rFont val="Arial"/>
        <family val="2"/>
      </rPr>
      <t>ITA p. 319</t>
    </r>
  </si>
  <si>
    <t>LOT OF THE CAUSE OF A KINGDOM</t>
  </si>
  <si>
    <r>
      <t xml:space="preserve">VI.2.43: The Lot of the cause of a kingdom, </t>
    </r>
    <r>
      <rPr>
        <b/>
        <i/>
        <sz val="10"/>
        <rFont val="Arial"/>
        <family val="2"/>
      </rPr>
      <t>ITA 319</t>
    </r>
  </si>
  <si>
    <t>LOT OF HOPE</t>
  </si>
  <si>
    <r>
      <t xml:space="preserve">VI.2.44: The Lot of Hope, </t>
    </r>
    <r>
      <rPr>
        <b/>
        <i/>
        <sz val="10"/>
        <rFont val="Arial"/>
        <family val="2"/>
      </rPr>
      <t>ITA p. 319</t>
    </r>
  </si>
  <si>
    <t>This lot is not included in the report.</t>
  </si>
  <si>
    <t>Lot of the Cause of the Kingdom</t>
  </si>
  <si>
    <t>Lot of a Job and Authority (Valens)</t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</si>
  <si>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Same as Lot of Death of Siblings</t>
    </r>
  </si>
  <si>
    <t>Lot of Trust and Hope</t>
  </si>
  <si>
    <t>LOT OF FRIENDS</t>
  </si>
  <si>
    <t>The Lot of Friends</t>
  </si>
  <si>
    <t>Lot of Fertility and the Abundance of Good in the Home</t>
  </si>
  <si>
    <r>
      <t xml:space="preserve">VI.2.45: The Lot of Friends, </t>
    </r>
    <r>
      <rPr>
        <b/>
        <i/>
        <sz val="10"/>
        <rFont val="Arial"/>
        <family val="2"/>
      </rPr>
      <t>ITA p. 320</t>
    </r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</si>
  <si>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This lot is the same as the Lot of Eros or Venus (Valens)</t>
    </r>
  </si>
  <si>
    <t>LOT OF MAKING FRIENDS AND ENEMIES</t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</si>
  <si>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In the Great Introduction, Abu Ma'shar names this the Lot of concord or discord - esteem of friends and esteem of a man and his woman</t>
    </r>
  </si>
  <si>
    <t>Lot of Excellence and Nobility</t>
  </si>
  <si>
    <t>Lot Signifying How the Native Will be Loved by Men</t>
  </si>
  <si>
    <t>Lot of Coveting (and of the inclination to or the appetite for the love of the world and temporal things)</t>
  </si>
  <si>
    <t>LOT OF BEING KNOWN AMONG MEN</t>
  </si>
  <si>
    <t>Lot of One Known among Men and One Honored Among Them</t>
  </si>
  <si>
    <t>LOT OF SUCCESS AND PROFIT</t>
  </si>
  <si>
    <t>Lot of Happiness and Increase</t>
  </si>
  <si>
    <t>Lot of Luckiness and Profit</t>
  </si>
  <si>
    <t>LOT OF CONCORD OR DISCORD AMONG FRIENDS</t>
  </si>
  <si>
    <t>Lot of the Agreement of Friends, (and even of a husband and wife), and their discord</t>
  </si>
  <si>
    <t>LOT OF LIBERTY AND GOODNESS</t>
  </si>
  <si>
    <t>Lot of the Honesty of the Mind</t>
  </si>
  <si>
    <t>LOT OF PRAISE</t>
  </si>
  <si>
    <t>Lot of Praise and of Gratitude</t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</si>
  <si>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In the Great Introduction, Abu Ma'shar names this the praiseworthy and pleasing lot</t>
    </r>
  </si>
  <si>
    <t>Note: The Great Introduction computes this from Mars to the 3rd cusp</t>
  </si>
  <si>
    <t>Note: these lots are not included in the report</t>
  </si>
  <si>
    <t>LOT OF WISHED ACQUISITIONS</t>
  </si>
  <si>
    <t>LOT OF ABUNDANCE IN HOME</t>
  </si>
  <si>
    <t>LOT OF WORLDLINESS</t>
  </si>
  <si>
    <r>
      <t xml:space="preserve">VI.2.46: The Lot of making friends and enemies, </t>
    </r>
    <r>
      <rPr>
        <b/>
        <i/>
        <sz val="10"/>
        <rFont val="Arial"/>
        <family val="2"/>
      </rPr>
      <t>ITA p. 320</t>
    </r>
  </si>
  <si>
    <t>LOT OF NECESSITY AND THE DELAY IN MATTERS</t>
  </si>
  <si>
    <t>Lot of Making Friends and Enemies</t>
  </si>
  <si>
    <t>LOT OF ACCUSATION, EXILE, AND INJURY</t>
  </si>
  <si>
    <t>LOT OF ENEMIES (CERTAIN ANCIENTS)</t>
  </si>
  <si>
    <r>
      <t xml:space="preserve">VI.2.47: The Lot of enemies (certain ancients), </t>
    </r>
    <r>
      <rPr>
        <b/>
        <i/>
        <sz val="10"/>
        <rFont val="Arial"/>
        <family val="2"/>
      </rPr>
      <t>ITA p. 321</t>
    </r>
  </si>
  <si>
    <t>Lot of Enmity a/c to some of the Ancients</t>
  </si>
  <si>
    <t>Lot of Hidden Enemies</t>
  </si>
  <si>
    <t>LOT OF ENEMIES (HERMES)</t>
  </si>
  <si>
    <r>
      <t>VI.2.48: The Lot of enemies (Hermes),</t>
    </r>
    <r>
      <rPr>
        <b/>
        <i/>
        <sz val="10"/>
        <rFont val="Arial"/>
        <family val="2"/>
      </rPr>
      <t xml:space="preserve"> ITA, p. 321</t>
    </r>
  </si>
  <si>
    <r>
      <t xml:space="preserve">Lot of Accusation, Exile and Injury </t>
    </r>
    <r>
      <rPr>
        <b/>
        <u val="single"/>
        <sz val="10"/>
        <rFont val="Arial"/>
        <family val="2"/>
      </rPr>
      <t>preferred</t>
    </r>
  </si>
  <si>
    <t>Lot of Enemies (Certain Ancients)</t>
  </si>
  <si>
    <t>Lot of Enemies (Hermes)</t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</si>
  <si>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Included in Great Introduction</t>
    </r>
  </si>
  <si>
    <t>Lot of Enmity a/c Hermes</t>
  </si>
  <si>
    <t>Lot of Beasts that Are to be Ridden</t>
  </si>
  <si>
    <t>Lot of Enemies a/c Hermes</t>
  </si>
  <si>
    <t>LOT OF LABOR AND AFFLICTION</t>
  </si>
  <si>
    <t>Lot of Bad Luck</t>
  </si>
  <si>
    <t>OTHER MISCELLANEOUS LOTS</t>
  </si>
  <si>
    <t>Note: Bonatti attributes these lots to Al-Qabisi but they are all included in Abu Ma'Shar's Great Introduction, 5th section</t>
  </si>
  <si>
    <t>Abu Ma'shar says:  Bringing to mind the lots that we didn't remember in places of the planets or 7th houses.</t>
  </si>
  <si>
    <t>LOT OF LEAN BODIES</t>
  </si>
  <si>
    <t>Lot of Debilitated Bodies</t>
  </si>
  <si>
    <r>
      <rPr>
        <b/>
        <u val="single"/>
        <sz val="10"/>
        <rFont val="Arial"/>
        <family val="2"/>
      </rPr>
      <t>Note</t>
    </r>
    <r>
      <rPr>
        <sz val="10"/>
        <rFont val="Arial"/>
        <family val="2"/>
      </rPr>
      <t>: Listed in Great Introduction as Lot of thin bodies</t>
    </r>
  </si>
  <si>
    <t>LOT OF HEROISM AND BRAVERY</t>
  </si>
  <si>
    <r>
      <t xml:space="preserve">VI.3.2: The Lot of heroism and bravery, </t>
    </r>
    <r>
      <rPr>
        <b/>
        <i/>
        <sz val="10"/>
        <rFont val="Arial"/>
        <family val="2"/>
      </rPr>
      <t>ITA p. 322</t>
    </r>
  </si>
  <si>
    <t>Lot of Heroism and Bravery</t>
  </si>
  <si>
    <r>
      <t xml:space="preserve">VI.3.1: The Lot of Knowledge, </t>
    </r>
    <r>
      <rPr>
        <b/>
        <i/>
        <sz val="10"/>
        <rFont val="Arial"/>
        <family val="2"/>
      </rPr>
      <t>ITA p. 322</t>
    </r>
  </si>
  <si>
    <t>Lot of Knowledge</t>
  </si>
  <si>
    <t>Lot of Peace among Soldiers</t>
  </si>
  <si>
    <t>LOT OF PEACE AMONG SOLIDERS</t>
  </si>
  <si>
    <r>
      <t xml:space="preserve">VI.3.3: The Lot of peace among soldiers, </t>
    </r>
    <r>
      <rPr>
        <b/>
        <i/>
        <sz val="10"/>
        <rFont val="Arial"/>
        <family val="2"/>
      </rPr>
      <t>ITA p. 323</t>
    </r>
  </si>
  <si>
    <t>LOT OF THE REVOLUTION OF THE YEAR</t>
  </si>
  <si>
    <t>Note: I do not include these lots in the report.</t>
  </si>
  <si>
    <t>Dykes suggests this lot is used in natal solar returns</t>
  </si>
  <si>
    <t>Lot Delay</t>
  </si>
  <si>
    <r>
      <t xml:space="preserve">LOT OF MERCURY (PAULUS) </t>
    </r>
    <r>
      <rPr>
        <b/>
        <u val="single"/>
        <sz val="10"/>
        <rFont val="Arial"/>
        <family val="2"/>
      </rPr>
      <t>PREFERRED</t>
    </r>
  </si>
  <si>
    <r>
      <t xml:space="preserve">LOT OF VENUS (PAULUS) </t>
    </r>
    <r>
      <rPr>
        <b/>
        <u val="single"/>
        <sz val="10"/>
        <rFont val="Arial"/>
        <family val="2"/>
      </rPr>
      <t>PREFERRED</t>
    </r>
  </si>
  <si>
    <t>Lots of the Houses</t>
  </si>
  <si>
    <r>
      <t xml:space="preserve">VI.1.4: The Lot of Basis, </t>
    </r>
    <r>
      <rPr>
        <b/>
        <i/>
        <sz val="10"/>
        <rFont val="Arial"/>
        <family val="2"/>
      </rPr>
      <t>ITA pp. 285-286</t>
    </r>
  </si>
  <si>
    <t>VI.1.1</t>
  </si>
  <si>
    <t>VI.1.2</t>
  </si>
  <si>
    <t>VI.1.3</t>
  </si>
  <si>
    <t>VI.1.5</t>
  </si>
  <si>
    <t>VI.1.6</t>
  </si>
  <si>
    <t>VI.1.7</t>
  </si>
  <si>
    <t>VI.1.8</t>
  </si>
  <si>
    <t>VI.1.4</t>
  </si>
  <si>
    <t>VI.2.1</t>
  </si>
  <si>
    <t>VI.2.2</t>
  </si>
  <si>
    <t>VI.2.3</t>
  </si>
  <si>
    <t>VI.2.4</t>
  </si>
  <si>
    <t>VI.2.5</t>
  </si>
  <si>
    <t>VI.2.6</t>
  </si>
  <si>
    <t>VI.2.7</t>
  </si>
  <si>
    <t>VI.2.8</t>
  </si>
  <si>
    <t>VI.2.9</t>
  </si>
  <si>
    <t>VI.2.10</t>
  </si>
  <si>
    <t>VI.2.11</t>
  </si>
  <si>
    <t>VI.2.12</t>
  </si>
  <si>
    <t>VI.2.13</t>
  </si>
  <si>
    <t>VI.2.14</t>
  </si>
  <si>
    <t>VI.2.15</t>
  </si>
  <si>
    <t>VI.2.16</t>
  </si>
  <si>
    <t>VI.2.17</t>
  </si>
  <si>
    <t>Note: I do not include the following lot in the report</t>
  </si>
  <si>
    <t>VI.2.19</t>
  </si>
  <si>
    <r>
      <t xml:space="preserve">VI.2.20: The Lot of slaves, </t>
    </r>
    <r>
      <rPr>
        <b/>
        <i/>
        <sz val="10"/>
        <rFont val="Arial"/>
        <family val="2"/>
      </rPr>
      <t>ITA pp. 304-305</t>
    </r>
  </si>
  <si>
    <t>VI.2.20</t>
  </si>
  <si>
    <t>VI.2.26</t>
  </si>
  <si>
    <t>VI.2.25</t>
  </si>
  <si>
    <r>
      <t>VI.2.21: Lot of men's marriage (Hermes),</t>
    </r>
    <r>
      <rPr>
        <b/>
        <i/>
        <sz val="10"/>
        <rFont val="Arial"/>
        <family val="2"/>
      </rPr>
      <t xml:space="preserve"> ITA, p. 305</t>
    </r>
  </si>
  <si>
    <r>
      <t xml:space="preserve">VI.2.23: Lot of women's marriage (Hermes), </t>
    </r>
    <r>
      <rPr>
        <b/>
        <i/>
        <sz val="10"/>
        <rFont val="Arial"/>
        <family val="2"/>
      </rPr>
      <t>ITA, pp. 306-307</t>
    </r>
  </si>
  <si>
    <t>VI.2.21</t>
  </si>
  <si>
    <t>VI.2.23</t>
  </si>
  <si>
    <t>VI.2.22</t>
  </si>
  <si>
    <t>VI.2.24</t>
  </si>
  <si>
    <t>VI.2.27</t>
  </si>
  <si>
    <t>VI.2.28</t>
  </si>
  <si>
    <t>VI.2.29</t>
  </si>
  <si>
    <t>VI.2.30</t>
  </si>
  <si>
    <t>VI.2.31</t>
  </si>
  <si>
    <t>VI.2.32</t>
  </si>
  <si>
    <t>VI.2.36</t>
  </si>
  <si>
    <t>VI.2.33</t>
  </si>
  <si>
    <t>VI.2.34</t>
  </si>
  <si>
    <t>VI.2.35</t>
  </si>
  <si>
    <t>VI.2.37</t>
  </si>
  <si>
    <t>VI.2.38</t>
  </si>
  <si>
    <t>VI.2.39</t>
  </si>
  <si>
    <t>VI.2.40</t>
  </si>
  <si>
    <t>VI.2.41</t>
  </si>
  <si>
    <t>VI.2.42</t>
  </si>
  <si>
    <t>VI.2.43</t>
  </si>
  <si>
    <t>VI.2.44</t>
  </si>
  <si>
    <t>VI.2.45</t>
  </si>
  <si>
    <t>VI.2.46</t>
  </si>
  <si>
    <t>VI.2.47</t>
  </si>
  <si>
    <t>VI.2.48</t>
  </si>
  <si>
    <t>VI.3.1</t>
  </si>
  <si>
    <t>VI.3.2</t>
  </si>
  <si>
    <t>VI.3.3</t>
  </si>
  <si>
    <t>Reference</t>
  </si>
  <si>
    <t>ABRAHAM LINCOLN</t>
  </si>
  <si>
    <t>29SA45</t>
  </si>
  <si>
    <t>22PI03</t>
  </si>
  <si>
    <t>3AQ54</t>
  </si>
  <si>
    <t>3SA08</t>
  </si>
  <si>
    <t>11PI17</t>
  </si>
  <si>
    <t>10PI06</t>
  </si>
  <si>
    <t>20LI50</t>
  </si>
  <si>
    <t>8SA00</t>
  </si>
  <si>
    <t>11LE22</t>
  </si>
  <si>
    <t>23AQ19</t>
  </si>
  <si>
    <t>25CP11</t>
  </si>
  <si>
    <t>2SA08</t>
  </si>
  <si>
    <t>7AR18</t>
  </si>
  <si>
    <t>25LI28</t>
  </si>
  <si>
    <t>LOT</t>
  </si>
  <si>
    <t>ITA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</si>
</sst>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14" xfId="0" applyFon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" fillId="0" borderId="23" xfId="0" applyFont="1" applyBorder="1" applyAlignment="1">
      <alignment/>
    </xf>
    <xf numFmtId="0" fontId="0" fillId="0" borderId="24" xfId="0" applyBorder="1" applyAlignment="1">
      <alignment/>
    </xf>
    <xf numFmtId="0" fontId="7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2" max="2" width="38.7109375" style="0" customWidth="1"/>
    <col min="3" max="5" width="8.28125" style="0" customWidth="1"/>
    <col min="6" max="6" width="8.28125" style="0" hidden="1" customWidth="1"/>
    <col min="18" max="18" width="18.421875" style="0" bestFit="1" customWidth="1"/>
    <col min="19" max="19" width="3.7109375" style="0" bestFit="1" customWidth="1"/>
    <col min="20" max="20" width="4.00390625" style="0" bestFit="1" customWidth="1"/>
    <col min="21" max="21" width="3.7109375" style="0" bestFit="1" customWidth="1"/>
  </cols>
  <sheetData>
    <row r="2" ht="15.75">
      <c r="B2" s="57" t="s">
        <v>373</v>
      </c>
    </row>
    <row r="3" ht="12.75">
      <c r="B3" t="s">
        <v>374</v>
      </c>
    </row>
    <row r="4" ht="12.75">
      <c r="B4" s="4" t="s">
        <v>249</v>
      </c>
    </row>
    <row r="5" ht="12.75">
      <c r="B5" t="s">
        <v>375</v>
      </c>
    </row>
    <row r="6" ht="12.75">
      <c r="B6" t="s">
        <v>247</v>
      </c>
    </row>
    <row r="8" ht="12.75">
      <c r="B8" t="s">
        <v>372</v>
      </c>
    </row>
    <row r="9" ht="12.75">
      <c r="B9" s="25" t="s">
        <v>1212</v>
      </c>
    </row>
    <row r="10" ht="12.75">
      <c r="B10" s="3" t="s">
        <v>770</v>
      </c>
    </row>
    <row r="11" spans="2:5" ht="12.75">
      <c r="B11" t="s">
        <v>706</v>
      </c>
      <c r="E11" s="25" t="s">
        <v>771</v>
      </c>
    </row>
    <row r="12" spans="2:5" ht="12.75">
      <c r="B12" s="1" t="s">
        <v>105</v>
      </c>
      <c r="E12" s="60"/>
    </row>
    <row r="13" ht="12.75">
      <c r="F13" s="2"/>
    </row>
    <row r="14" spans="2:6" ht="12.75">
      <c r="B14" t="s">
        <v>12</v>
      </c>
      <c r="C14" s="67" t="s">
        <v>1213</v>
      </c>
      <c r="D14" s="24">
        <v>269</v>
      </c>
      <c r="E14" s="24">
        <v>45</v>
      </c>
      <c r="F14" s="15">
        <f aca="true" t="shared" si="0" ref="F14:F33">D14+E14/60</f>
        <v>269.75</v>
      </c>
    </row>
    <row r="15" spans="2:6" ht="12.75">
      <c r="B15" t="s">
        <v>638</v>
      </c>
      <c r="C15" s="67" t="s">
        <v>1214</v>
      </c>
      <c r="D15" s="24">
        <v>352</v>
      </c>
      <c r="E15" s="24">
        <v>3</v>
      </c>
      <c r="F15" s="15">
        <f t="shared" si="0"/>
        <v>352.05</v>
      </c>
    </row>
    <row r="16" spans="2:18" ht="13.5" thickBot="1">
      <c r="B16" t="s">
        <v>623</v>
      </c>
      <c r="C16" s="67" t="s">
        <v>1215</v>
      </c>
      <c r="D16" s="24">
        <v>303</v>
      </c>
      <c r="E16" s="24">
        <v>54</v>
      </c>
      <c r="F16" s="15">
        <f t="shared" si="0"/>
        <v>303.9</v>
      </c>
      <c r="R16" s="4" t="s">
        <v>607</v>
      </c>
    </row>
    <row r="17" spans="2:21" ht="13.5" thickTop="1">
      <c r="B17" t="s">
        <v>624</v>
      </c>
      <c r="C17" s="67" t="s">
        <v>1216</v>
      </c>
      <c r="D17" s="24">
        <v>243</v>
      </c>
      <c r="E17" s="24">
        <v>8</v>
      </c>
      <c r="F17" s="15">
        <f t="shared" si="0"/>
        <v>243.13333333333333</v>
      </c>
      <c r="R17" s="16">
        <v>1</v>
      </c>
      <c r="S17" s="17" t="s">
        <v>608</v>
      </c>
      <c r="T17" s="17">
        <v>0</v>
      </c>
      <c r="U17" s="18" t="s">
        <v>613</v>
      </c>
    </row>
    <row r="18" spans="2:21" ht="12.75">
      <c r="B18" t="s">
        <v>625</v>
      </c>
      <c r="C18" s="67" t="s">
        <v>1217</v>
      </c>
      <c r="D18" s="24">
        <v>341</v>
      </c>
      <c r="E18" s="24">
        <v>17</v>
      </c>
      <c r="F18" s="15">
        <f t="shared" si="0"/>
        <v>341.28333333333336</v>
      </c>
      <c r="R18" s="19">
        <v>2</v>
      </c>
      <c r="S18" s="7" t="s">
        <v>609</v>
      </c>
      <c r="T18" s="7">
        <v>30</v>
      </c>
      <c r="U18" s="20" t="s">
        <v>612</v>
      </c>
    </row>
    <row r="19" spans="2:21" ht="12.75">
      <c r="B19" t="s">
        <v>626</v>
      </c>
      <c r="C19" s="67" t="s">
        <v>1218</v>
      </c>
      <c r="D19" s="24">
        <v>340</v>
      </c>
      <c r="E19" s="24">
        <v>6</v>
      </c>
      <c r="F19" s="15">
        <f t="shared" si="0"/>
        <v>340.1</v>
      </c>
      <c r="R19" s="19">
        <v>3</v>
      </c>
      <c r="S19" s="7" t="s">
        <v>610</v>
      </c>
      <c r="T19" s="7">
        <v>60</v>
      </c>
      <c r="U19" s="20" t="s">
        <v>611</v>
      </c>
    </row>
    <row r="20" spans="2:21" ht="12.75">
      <c r="B20" t="s">
        <v>262</v>
      </c>
      <c r="C20" s="67" t="s">
        <v>1219</v>
      </c>
      <c r="D20" s="24">
        <v>200</v>
      </c>
      <c r="E20" s="24">
        <v>50</v>
      </c>
      <c r="F20" s="15">
        <f t="shared" si="0"/>
        <v>200.83333333333334</v>
      </c>
      <c r="R20" s="19">
        <v>4</v>
      </c>
      <c r="S20" s="7" t="s">
        <v>611</v>
      </c>
      <c r="T20" s="7">
        <v>90</v>
      </c>
      <c r="U20" s="20" t="s">
        <v>610</v>
      </c>
    </row>
    <row r="21" spans="2:21" ht="12.75">
      <c r="B21" t="s">
        <v>627</v>
      </c>
      <c r="C21" s="67" t="s">
        <v>1220</v>
      </c>
      <c r="D21" s="24">
        <v>248</v>
      </c>
      <c r="E21" s="24">
        <v>0</v>
      </c>
      <c r="F21" s="15">
        <f t="shared" si="0"/>
        <v>248</v>
      </c>
      <c r="R21" s="19">
        <v>5</v>
      </c>
      <c r="S21" s="7" t="s">
        <v>612</v>
      </c>
      <c r="T21" s="7">
        <v>120</v>
      </c>
      <c r="U21" s="20" t="s">
        <v>609</v>
      </c>
    </row>
    <row r="22" spans="2:21" ht="12.75">
      <c r="B22" t="s">
        <v>628</v>
      </c>
      <c r="C22" s="67" t="s">
        <v>1214</v>
      </c>
      <c r="D22" s="24">
        <v>352</v>
      </c>
      <c r="E22" s="24">
        <v>3</v>
      </c>
      <c r="F22" s="15">
        <f t="shared" si="0"/>
        <v>352.05</v>
      </c>
      <c r="R22" s="19">
        <v>6</v>
      </c>
      <c r="S22" s="7" t="s">
        <v>613</v>
      </c>
      <c r="T22" s="7">
        <v>150</v>
      </c>
      <c r="U22" s="20" t="s">
        <v>608</v>
      </c>
    </row>
    <row r="23" spans="2:21" ht="12.75">
      <c r="B23" t="s">
        <v>115</v>
      </c>
      <c r="C23" s="67" t="s">
        <v>1221</v>
      </c>
      <c r="D23" s="24">
        <v>131</v>
      </c>
      <c r="E23" s="24">
        <v>22</v>
      </c>
      <c r="F23" s="15">
        <f t="shared" si="0"/>
        <v>131.36666666666667</v>
      </c>
      <c r="R23" s="19">
        <v>7</v>
      </c>
      <c r="S23" s="7" t="s">
        <v>614</v>
      </c>
      <c r="T23" s="7">
        <v>180</v>
      </c>
      <c r="U23" s="20" t="s">
        <v>619</v>
      </c>
    </row>
    <row r="24" spans="2:21" ht="12.75">
      <c r="B24" t="s">
        <v>113</v>
      </c>
      <c r="C24" s="67" t="s">
        <v>1222</v>
      </c>
      <c r="D24" s="24">
        <v>323</v>
      </c>
      <c r="E24" s="24">
        <v>19</v>
      </c>
      <c r="F24" s="15">
        <f t="shared" si="0"/>
        <v>323.31666666666666</v>
      </c>
      <c r="R24" s="19">
        <v>8</v>
      </c>
      <c r="S24" s="7" t="s">
        <v>615</v>
      </c>
      <c r="T24" s="7">
        <v>210</v>
      </c>
      <c r="U24" s="20" t="s">
        <v>618</v>
      </c>
    </row>
    <row r="25" spans="2:21" ht="12.75">
      <c r="B25" t="s">
        <v>707</v>
      </c>
      <c r="C25" s="67" t="s">
        <v>1222</v>
      </c>
      <c r="D25" s="24">
        <v>323</v>
      </c>
      <c r="E25" s="24">
        <v>19</v>
      </c>
      <c r="F25" s="15">
        <f t="shared" si="0"/>
        <v>323.31666666666666</v>
      </c>
      <c r="R25" s="19">
        <v>9</v>
      </c>
      <c r="S25" s="7" t="s">
        <v>616</v>
      </c>
      <c r="T25" s="7">
        <v>240</v>
      </c>
      <c r="U25" s="20" t="s">
        <v>617</v>
      </c>
    </row>
    <row r="26" spans="2:21" ht="12.75">
      <c r="B26" t="s">
        <v>629</v>
      </c>
      <c r="C26" s="67" t="s">
        <v>1216</v>
      </c>
      <c r="D26" s="24">
        <v>243</v>
      </c>
      <c r="E26" s="24">
        <v>8</v>
      </c>
      <c r="F26" s="15">
        <f t="shared" si="0"/>
        <v>243.13333333333333</v>
      </c>
      <c r="R26" s="19">
        <v>10</v>
      </c>
      <c r="S26" s="7" t="s">
        <v>617</v>
      </c>
      <c r="T26" s="7">
        <v>270</v>
      </c>
      <c r="U26" s="20" t="s">
        <v>616</v>
      </c>
    </row>
    <row r="27" spans="2:21" ht="12.75">
      <c r="B27" t="s">
        <v>630</v>
      </c>
      <c r="C27" s="67" t="s">
        <v>1223</v>
      </c>
      <c r="D27" s="24">
        <v>295</v>
      </c>
      <c r="E27" s="24">
        <v>11</v>
      </c>
      <c r="F27" s="15">
        <f t="shared" si="0"/>
        <v>295.18333333333334</v>
      </c>
      <c r="R27" s="19">
        <v>11</v>
      </c>
      <c r="S27" s="7" t="s">
        <v>618</v>
      </c>
      <c r="T27" s="7">
        <v>300</v>
      </c>
      <c r="U27" s="20" t="s">
        <v>615</v>
      </c>
    </row>
    <row r="28" spans="2:21" ht="13.5" thickBot="1">
      <c r="B28" t="s">
        <v>631</v>
      </c>
      <c r="C28" s="67" t="s">
        <v>1224</v>
      </c>
      <c r="D28" s="24">
        <v>243</v>
      </c>
      <c r="E28" s="24">
        <v>8</v>
      </c>
      <c r="F28" s="15">
        <f t="shared" si="0"/>
        <v>243.13333333333333</v>
      </c>
      <c r="R28" s="21">
        <v>12</v>
      </c>
      <c r="S28" s="22" t="s">
        <v>619</v>
      </c>
      <c r="T28" s="22">
        <v>330</v>
      </c>
      <c r="U28" s="23" t="s">
        <v>614</v>
      </c>
    </row>
    <row r="29" spans="2:6" ht="13.5" thickTop="1">
      <c r="B29" t="s">
        <v>632</v>
      </c>
      <c r="C29" s="67" t="s">
        <v>1218</v>
      </c>
      <c r="D29" s="24">
        <v>340</v>
      </c>
      <c r="E29" s="24">
        <v>6</v>
      </c>
      <c r="F29" s="15">
        <f t="shared" si="0"/>
        <v>340.1</v>
      </c>
    </row>
    <row r="30" spans="2:6" ht="12.75">
      <c r="B30" t="s">
        <v>633</v>
      </c>
      <c r="C30" s="67" t="s">
        <v>1225</v>
      </c>
      <c r="D30" s="24">
        <v>7</v>
      </c>
      <c r="E30" s="24">
        <v>18</v>
      </c>
      <c r="F30" s="15">
        <f t="shared" si="0"/>
        <v>7.3</v>
      </c>
    </row>
    <row r="31" spans="2:6" ht="12.75">
      <c r="B31" t="s">
        <v>634</v>
      </c>
      <c r="C31" s="67" t="s">
        <v>1226</v>
      </c>
      <c r="D31" s="24">
        <v>205</v>
      </c>
      <c r="E31" s="24">
        <v>28</v>
      </c>
      <c r="F31" s="15">
        <f t="shared" si="0"/>
        <v>205.46666666666667</v>
      </c>
    </row>
    <row r="32" spans="2:6" ht="12.75">
      <c r="B32" t="s">
        <v>635</v>
      </c>
      <c r="C32" s="67" t="s">
        <v>1214</v>
      </c>
      <c r="D32" s="24">
        <v>352</v>
      </c>
      <c r="E32" s="24">
        <v>3</v>
      </c>
      <c r="F32" s="15">
        <f t="shared" si="0"/>
        <v>352.05</v>
      </c>
    </row>
    <row r="33" spans="2:6" ht="12.75">
      <c r="B33" t="s">
        <v>637</v>
      </c>
      <c r="C33" s="67" t="s">
        <v>1216</v>
      </c>
      <c r="D33" s="24">
        <v>243</v>
      </c>
      <c r="E33" s="24">
        <v>8</v>
      </c>
      <c r="F33" s="15">
        <f t="shared" si="0"/>
        <v>243.13333333333333</v>
      </c>
    </row>
    <row r="34" spans="2:6" ht="12.75" hidden="1">
      <c r="B34" t="s">
        <v>49</v>
      </c>
      <c r="F34" s="15">
        <f>Report!AA6</f>
        <v>297.8833333333333</v>
      </c>
    </row>
    <row r="35" spans="2:6" ht="12.75" hidden="1">
      <c r="B35" t="s">
        <v>636</v>
      </c>
      <c r="F35" s="15">
        <f>Report!AA7</f>
        <v>241.61666666666667</v>
      </c>
    </row>
    <row r="36" spans="2:6" ht="12.75" hidden="1">
      <c r="B36" t="s">
        <v>418</v>
      </c>
      <c r="F36" s="15">
        <f>ASC+180</f>
        <v>449.75</v>
      </c>
    </row>
    <row r="37" spans="2:6" ht="12.75" hidden="1">
      <c r="B37" t="s">
        <v>419</v>
      </c>
      <c r="F37" s="15">
        <f>IF(F36&gt;360,F36-360,F36)</f>
        <v>89.75</v>
      </c>
    </row>
    <row r="38" spans="2:6" ht="12.75" hidden="1">
      <c r="B38" t="s">
        <v>420</v>
      </c>
      <c r="F38" s="15">
        <f>CUSP2+180</f>
        <v>483.9</v>
      </c>
    </row>
    <row r="39" spans="2:6" ht="12.75" hidden="1">
      <c r="B39" t="s">
        <v>421</v>
      </c>
      <c r="F39" s="15">
        <f>IF(F38&gt;360,F38-360,F38)</f>
        <v>123.89999999999998</v>
      </c>
    </row>
    <row r="40" spans="2:6" ht="12.75" hidden="1">
      <c r="B40" t="s">
        <v>422</v>
      </c>
      <c r="F40" s="15">
        <f>CUSP3+180</f>
        <v>521.2833333333333</v>
      </c>
    </row>
    <row r="41" spans="2:6" ht="12.75" hidden="1">
      <c r="B41" t="s">
        <v>423</v>
      </c>
      <c r="F41" s="15">
        <f>IF(F40&gt;360,F40-360,F40)</f>
        <v>161.2833333333333</v>
      </c>
    </row>
    <row r="42" spans="2:6" ht="12.75" hidden="1">
      <c r="B42" t="s">
        <v>642</v>
      </c>
      <c r="F42" s="15">
        <f>IF(SECT="D",SUN,MOON)</f>
        <v>295.18333333333334</v>
      </c>
    </row>
    <row r="43" spans="2:6" ht="12.75" hidden="1">
      <c r="B43" t="s">
        <v>639</v>
      </c>
      <c r="F43" s="15">
        <f>IF(SECT="D",LORDSUN,LORDMOON)</f>
        <v>243.13333333333333</v>
      </c>
    </row>
    <row r="44" spans="2:6" ht="12.75" hidden="1">
      <c r="B44" t="s">
        <v>640</v>
      </c>
      <c r="F44" s="15">
        <f>IF(SECT="D",19,33)</f>
        <v>33</v>
      </c>
    </row>
    <row r="45" ht="12.75" hidden="1"/>
    <row r="47" spans="2:5" ht="12.75">
      <c r="B47" t="s">
        <v>97</v>
      </c>
      <c r="E47" s="68" t="s">
        <v>618</v>
      </c>
    </row>
    <row r="48" ht="12.75">
      <c r="B48" t="s">
        <v>98</v>
      </c>
    </row>
    <row r="50" ht="12.75">
      <c r="B50" t="s">
        <v>163</v>
      </c>
    </row>
    <row r="51" ht="12.75">
      <c r="B51" t="s">
        <v>164</v>
      </c>
    </row>
    <row r="52" ht="12.75">
      <c r="B52" t="s">
        <v>165</v>
      </c>
    </row>
    <row r="53" ht="12.75">
      <c r="B53" t="s">
        <v>166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.28125" style="0" bestFit="1" customWidth="1"/>
    <col min="3" max="3" width="51.140625" style="0" customWidth="1"/>
    <col min="8" max="9" width="9.00390625" style="0" customWidth="1"/>
  </cols>
  <sheetData>
    <row r="2" ht="12.75">
      <c r="C2" s="6" t="s">
        <v>847</v>
      </c>
    </row>
    <row r="4" spans="1:9" ht="12.75">
      <c r="A4">
        <v>7</v>
      </c>
      <c r="C4" s="2" t="s">
        <v>964</v>
      </c>
      <c r="D4" t="s">
        <v>7</v>
      </c>
      <c r="E4" t="s">
        <v>11</v>
      </c>
      <c r="F4" t="s">
        <v>12</v>
      </c>
      <c r="G4" t="s">
        <v>13</v>
      </c>
      <c r="H4" t="str">
        <f>Report!H58</f>
        <v>22PI12</v>
      </c>
      <c r="I4" t="s">
        <v>598</v>
      </c>
    </row>
    <row r="5" spans="1:7" ht="12.75">
      <c r="A5">
        <v>7</v>
      </c>
      <c r="B5" s="2" t="s">
        <v>799</v>
      </c>
      <c r="C5" s="2" t="s">
        <v>965</v>
      </c>
      <c r="D5" t="s">
        <v>7</v>
      </c>
      <c r="E5" t="s">
        <v>11</v>
      </c>
      <c r="F5" t="s">
        <v>12</v>
      </c>
      <c r="G5" t="s">
        <v>13</v>
      </c>
    </row>
    <row r="6" spans="1:7" ht="12.75">
      <c r="A6">
        <v>7</v>
      </c>
      <c r="B6" t="s">
        <v>760</v>
      </c>
      <c r="C6" t="s">
        <v>1</v>
      </c>
      <c r="D6" t="s">
        <v>7</v>
      </c>
      <c r="E6" t="s">
        <v>11</v>
      </c>
      <c r="F6" t="s">
        <v>12</v>
      </c>
      <c r="G6" t="s">
        <v>13</v>
      </c>
    </row>
    <row r="7" spans="1:7" ht="12.75">
      <c r="A7">
        <v>7</v>
      </c>
      <c r="B7" t="s">
        <v>15</v>
      </c>
      <c r="C7" t="s">
        <v>16</v>
      </c>
      <c r="D7" t="s">
        <v>7</v>
      </c>
      <c r="E7" t="s">
        <v>11</v>
      </c>
      <c r="F7" t="s">
        <v>12</v>
      </c>
      <c r="G7" t="s">
        <v>13</v>
      </c>
    </row>
    <row r="8" spans="1:7" ht="12.75">
      <c r="A8">
        <v>7</v>
      </c>
      <c r="B8" t="s">
        <v>35</v>
      </c>
      <c r="C8" s="2" t="s">
        <v>950</v>
      </c>
      <c r="D8" t="s">
        <v>7</v>
      </c>
      <c r="E8" t="s">
        <v>11</v>
      </c>
      <c r="F8" t="s">
        <v>12</v>
      </c>
      <c r="G8" t="s">
        <v>13</v>
      </c>
    </row>
    <row r="9" spans="1:7" ht="12.75">
      <c r="A9">
        <v>7</v>
      </c>
      <c r="B9" t="s">
        <v>35</v>
      </c>
      <c r="C9" s="2" t="s">
        <v>951</v>
      </c>
      <c r="D9" t="s">
        <v>7</v>
      </c>
      <c r="E9" t="s">
        <v>11</v>
      </c>
      <c r="F9" t="s">
        <v>12</v>
      </c>
      <c r="G9" t="s">
        <v>13</v>
      </c>
    </row>
    <row r="11" spans="1:9" ht="12.75">
      <c r="A11">
        <v>7</v>
      </c>
      <c r="C11" s="2" t="s">
        <v>963</v>
      </c>
      <c r="D11" t="s">
        <v>6</v>
      </c>
      <c r="E11" t="s">
        <v>8</v>
      </c>
      <c r="F11" t="s">
        <v>12</v>
      </c>
      <c r="G11" s="2" t="s">
        <v>14</v>
      </c>
      <c r="H11" t="str">
        <f>Report!H59</f>
        <v>27CP53</v>
      </c>
      <c r="I11" t="s">
        <v>599</v>
      </c>
    </row>
    <row r="12" spans="1:7" ht="12.75">
      <c r="A12">
        <v>7</v>
      </c>
      <c r="B12" s="2" t="s">
        <v>799</v>
      </c>
      <c r="C12" s="2" t="s">
        <v>962</v>
      </c>
      <c r="D12" t="s">
        <v>6</v>
      </c>
      <c r="E12" t="s">
        <v>8</v>
      </c>
      <c r="F12" t="s">
        <v>12</v>
      </c>
      <c r="G12" t="s">
        <v>13</v>
      </c>
    </row>
    <row r="13" spans="1:7" ht="12.75">
      <c r="A13">
        <v>7</v>
      </c>
      <c r="B13" t="s">
        <v>305</v>
      </c>
      <c r="C13" t="s">
        <v>345</v>
      </c>
      <c r="D13" t="s">
        <v>6</v>
      </c>
      <c r="E13" t="s">
        <v>8</v>
      </c>
      <c r="F13" t="s">
        <v>12</v>
      </c>
      <c r="G13" t="s">
        <v>13</v>
      </c>
    </row>
    <row r="14" spans="1:7" ht="12.75">
      <c r="A14">
        <v>7</v>
      </c>
      <c r="B14" t="s">
        <v>760</v>
      </c>
      <c r="C14" t="s">
        <v>2</v>
      </c>
      <c r="D14" t="s">
        <v>6</v>
      </c>
      <c r="E14" t="s">
        <v>8</v>
      </c>
      <c r="F14" t="s">
        <v>12</v>
      </c>
      <c r="G14" t="s">
        <v>13</v>
      </c>
    </row>
    <row r="15" spans="1:7" ht="12.75">
      <c r="A15">
        <v>7</v>
      </c>
      <c r="B15" t="s">
        <v>15</v>
      </c>
      <c r="C15" t="s">
        <v>19</v>
      </c>
      <c r="D15" t="s">
        <v>6</v>
      </c>
      <c r="E15" t="s">
        <v>8</v>
      </c>
      <c r="F15" t="s">
        <v>12</v>
      </c>
      <c r="G15" t="s">
        <v>13</v>
      </c>
    </row>
    <row r="16" spans="1:7" ht="12.75">
      <c r="A16">
        <v>7</v>
      </c>
      <c r="B16" t="s">
        <v>35</v>
      </c>
      <c r="C16" s="2" t="s">
        <v>954</v>
      </c>
      <c r="D16" t="s">
        <v>6</v>
      </c>
      <c r="E16" t="s">
        <v>8</v>
      </c>
      <c r="F16" t="s">
        <v>12</v>
      </c>
      <c r="G16" t="s">
        <v>13</v>
      </c>
    </row>
    <row r="17" ht="12.75">
      <c r="C17" s="2" t="s">
        <v>952</v>
      </c>
    </row>
    <row r="18" ht="12.75">
      <c r="C18" s="2" t="s">
        <v>953</v>
      </c>
    </row>
    <row r="20" spans="1:9" ht="12.75">
      <c r="A20">
        <v>7</v>
      </c>
      <c r="C20" s="2" t="s">
        <v>955</v>
      </c>
      <c r="D20" t="s">
        <v>5</v>
      </c>
      <c r="E20" t="s">
        <v>7</v>
      </c>
      <c r="F20" t="s">
        <v>12</v>
      </c>
      <c r="G20" t="s">
        <v>13</v>
      </c>
      <c r="H20" t="str">
        <f>Report!H60</f>
        <v>3TA55</v>
      </c>
      <c r="I20" t="s">
        <v>409</v>
      </c>
    </row>
    <row r="21" spans="1:7" ht="12.75">
      <c r="A21">
        <v>7</v>
      </c>
      <c r="B21" s="2" t="s">
        <v>799</v>
      </c>
      <c r="C21" s="2" t="s">
        <v>1180</v>
      </c>
      <c r="D21" t="s">
        <v>5</v>
      </c>
      <c r="E21" t="s">
        <v>7</v>
      </c>
      <c r="F21" t="s">
        <v>12</v>
      </c>
      <c r="G21" t="s">
        <v>13</v>
      </c>
    </row>
    <row r="22" spans="1:7" ht="12.75">
      <c r="A22">
        <v>7</v>
      </c>
      <c r="B22" t="s">
        <v>305</v>
      </c>
      <c r="C22" t="s">
        <v>340</v>
      </c>
      <c r="D22" t="s">
        <v>5</v>
      </c>
      <c r="E22" t="s">
        <v>7</v>
      </c>
      <c r="F22" t="s">
        <v>12</v>
      </c>
      <c r="G22" t="s">
        <v>13</v>
      </c>
    </row>
    <row r="23" spans="1:7" ht="12.75">
      <c r="A23">
        <v>7</v>
      </c>
      <c r="B23" t="s">
        <v>760</v>
      </c>
      <c r="C23" t="s">
        <v>761</v>
      </c>
      <c r="D23" t="s">
        <v>5</v>
      </c>
      <c r="E23" t="s">
        <v>7</v>
      </c>
      <c r="F23" t="s">
        <v>12</v>
      </c>
      <c r="G23" t="s">
        <v>13</v>
      </c>
    </row>
    <row r="24" spans="1:7" ht="12.75">
      <c r="A24">
        <v>7</v>
      </c>
      <c r="B24" t="s">
        <v>760</v>
      </c>
      <c r="C24" t="s">
        <v>3</v>
      </c>
      <c r="D24" t="s">
        <v>5</v>
      </c>
      <c r="E24" t="s">
        <v>7</v>
      </c>
      <c r="F24" t="s">
        <v>12</v>
      </c>
      <c r="G24" t="s">
        <v>13</v>
      </c>
    </row>
    <row r="25" spans="1:7" ht="12.75">
      <c r="A25">
        <v>7</v>
      </c>
      <c r="B25" t="s">
        <v>15</v>
      </c>
      <c r="C25" t="s">
        <v>17</v>
      </c>
      <c r="D25" t="s">
        <v>5</v>
      </c>
      <c r="E25" t="s">
        <v>7</v>
      </c>
      <c r="F25" t="s">
        <v>12</v>
      </c>
      <c r="G25" t="s">
        <v>13</v>
      </c>
    </row>
    <row r="26" spans="1:7" ht="12.75">
      <c r="A26">
        <v>7</v>
      </c>
      <c r="B26" t="s">
        <v>15</v>
      </c>
      <c r="C26" t="s">
        <v>34</v>
      </c>
      <c r="D26" t="s">
        <v>5</v>
      </c>
      <c r="E26" t="s">
        <v>7</v>
      </c>
      <c r="F26" t="s">
        <v>12</v>
      </c>
      <c r="G26" t="s">
        <v>13</v>
      </c>
    </row>
    <row r="27" spans="1:7" ht="12.75">
      <c r="A27">
        <v>7</v>
      </c>
      <c r="B27" t="s">
        <v>35</v>
      </c>
      <c r="C27" s="2" t="s">
        <v>956</v>
      </c>
      <c r="D27" t="s">
        <v>5</v>
      </c>
      <c r="E27" t="s">
        <v>7</v>
      </c>
      <c r="F27" t="s">
        <v>12</v>
      </c>
      <c r="G27" t="s">
        <v>13</v>
      </c>
    </row>
    <row r="28" spans="1:7" ht="12.75">
      <c r="A28">
        <v>7</v>
      </c>
      <c r="B28" t="s">
        <v>35</v>
      </c>
      <c r="C28" s="2" t="s">
        <v>988</v>
      </c>
      <c r="D28" t="s">
        <v>5</v>
      </c>
      <c r="E28" t="s">
        <v>7</v>
      </c>
      <c r="F28" t="s">
        <v>12</v>
      </c>
      <c r="G28" t="s">
        <v>13</v>
      </c>
    </row>
    <row r="30" spans="1:9" ht="12.75">
      <c r="A30">
        <v>7</v>
      </c>
      <c r="C30" s="2" t="s">
        <v>959</v>
      </c>
      <c r="D30" t="s">
        <v>7</v>
      </c>
      <c r="E30" t="s">
        <v>5</v>
      </c>
      <c r="F30" t="s">
        <v>12</v>
      </c>
      <c r="G30" t="s">
        <v>13</v>
      </c>
      <c r="H30" t="str">
        <f>Report!H61</f>
        <v>25LE35</v>
      </c>
      <c r="I30" t="s">
        <v>480</v>
      </c>
    </row>
    <row r="31" spans="1:7" ht="12.75">
      <c r="A31">
        <v>7</v>
      </c>
      <c r="B31" s="2" t="s">
        <v>799</v>
      </c>
      <c r="C31" s="2" t="s">
        <v>1181</v>
      </c>
      <c r="D31" t="s">
        <v>7</v>
      </c>
      <c r="E31" t="s">
        <v>5</v>
      </c>
      <c r="F31" t="s">
        <v>12</v>
      </c>
      <c r="G31" t="s">
        <v>13</v>
      </c>
    </row>
    <row r="32" spans="1:7" ht="12.75">
      <c r="A32">
        <v>7</v>
      </c>
      <c r="B32" t="s">
        <v>305</v>
      </c>
      <c r="C32" t="s">
        <v>342</v>
      </c>
      <c r="D32" t="s">
        <v>7</v>
      </c>
      <c r="E32" t="s">
        <v>5</v>
      </c>
      <c r="F32" t="s">
        <v>12</v>
      </c>
      <c r="G32" t="s">
        <v>13</v>
      </c>
    </row>
    <row r="33" spans="1:7" ht="12.75">
      <c r="A33">
        <v>7</v>
      </c>
      <c r="B33" t="s">
        <v>760</v>
      </c>
      <c r="C33" t="s">
        <v>765</v>
      </c>
      <c r="D33" t="s">
        <v>7</v>
      </c>
      <c r="E33" t="s">
        <v>5</v>
      </c>
      <c r="F33" t="s">
        <v>12</v>
      </c>
      <c r="G33" t="s">
        <v>13</v>
      </c>
    </row>
    <row r="34" spans="1:7" ht="12.75">
      <c r="A34">
        <v>7</v>
      </c>
      <c r="B34" t="s">
        <v>15</v>
      </c>
      <c r="C34" t="s">
        <v>22</v>
      </c>
      <c r="D34" t="s">
        <v>7</v>
      </c>
      <c r="E34" t="s">
        <v>5</v>
      </c>
      <c r="F34" t="s">
        <v>12</v>
      </c>
      <c r="G34" t="s">
        <v>13</v>
      </c>
    </row>
    <row r="35" spans="1:7" ht="12.75">
      <c r="A35">
        <v>7</v>
      </c>
      <c r="B35" t="s">
        <v>35</v>
      </c>
      <c r="C35" s="2" t="s">
        <v>985</v>
      </c>
      <c r="D35" t="s">
        <v>7</v>
      </c>
      <c r="E35" t="s">
        <v>5</v>
      </c>
      <c r="F35" t="s">
        <v>12</v>
      </c>
      <c r="G35" t="s">
        <v>13</v>
      </c>
    </row>
    <row r="36" spans="1:7" ht="12.75">
      <c r="A36">
        <v>7</v>
      </c>
      <c r="B36" t="s">
        <v>35</v>
      </c>
      <c r="C36" s="2" t="s">
        <v>960</v>
      </c>
      <c r="D36" t="s">
        <v>7</v>
      </c>
      <c r="E36" t="s">
        <v>5</v>
      </c>
      <c r="F36" t="s">
        <v>12</v>
      </c>
      <c r="G36" t="s">
        <v>13</v>
      </c>
    </row>
    <row r="37" spans="1:7" ht="12.75">
      <c r="A37">
        <v>7</v>
      </c>
      <c r="B37" t="s">
        <v>35</v>
      </c>
      <c r="C37" s="2" t="s">
        <v>986</v>
      </c>
      <c r="D37" t="s">
        <v>7</v>
      </c>
      <c r="E37" t="s">
        <v>5</v>
      </c>
      <c r="F37" t="s">
        <v>12</v>
      </c>
      <c r="G37" t="s">
        <v>13</v>
      </c>
    </row>
    <row r="38" spans="1:7" ht="12.75">
      <c r="A38">
        <v>7</v>
      </c>
      <c r="B38" t="s">
        <v>35</v>
      </c>
      <c r="C38" s="2" t="s">
        <v>987</v>
      </c>
      <c r="D38" t="s">
        <v>7</v>
      </c>
      <c r="E38" t="s">
        <v>5</v>
      </c>
      <c r="F38" t="s">
        <v>12</v>
      </c>
      <c r="G38" t="s">
        <v>13</v>
      </c>
    </row>
    <row r="40" spans="1:9" ht="12.75">
      <c r="A40">
        <v>7</v>
      </c>
      <c r="C40" s="2" t="s">
        <v>957</v>
      </c>
      <c r="D40" t="s">
        <v>6</v>
      </c>
      <c r="E40" t="s">
        <v>7</v>
      </c>
      <c r="F40" t="s">
        <v>12</v>
      </c>
      <c r="G40" t="s">
        <v>13</v>
      </c>
      <c r="H40" t="str">
        <f>Report!H62</f>
        <v>13AQ44</v>
      </c>
      <c r="I40" t="s">
        <v>600</v>
      </c>
    </row>
    <row r="41" spans="1:7" ht="12.75">
      <c r="A41">
        <v>7</v>
      </c>
      <c r="B41" s="2" t="s">
        <v>799</v>
      </c>
      <c r="C41" s="2" t="s">
        <v>958</v>
      </c>
      <c r="D41" t="s">
        <v>6</v>
      </c>
      <c r="E41" t="s">
        <v>7</v>
      </c>
      <c r="F41" t="s">
        <v>12</v>
      </c>
      <c r="G41" t="s">
        <v>13</v>
      </c>
    </row>
    <row r="42" spans="1:7" ht="12.75">
      <c r="A42">
        <v>7</v>
      </c>
      <c r="B42" t="s">
        <v>305</v>
      </c>
      <c r="C42" t="s">
        <v>341</v>
      </c>
      <c r="D42" t="s">
        <v>6</v>
      </c>
      <c r="E42" t="s">
        <v>7</v>
      </c>
      <c r="F42" t="s">
        <v>12</v>
      </c>
      <c r="G42" t="s">
        <v>13</v>
      </c>
    </row>
    <row r="43" spans="1:7" ht="12.75">
      <c r="A43">
        <v>7</v>
      </c>
      <c r="B43" t="s">
        <v>760</v>
      </c>
      <c r="C43" t="s">
        <v>762</v>
      </c>
      <c r="D43" t="s">
        <v>6</v>
      </c>
      <c r="E43" t="s">
        <v>7</v>
      </c>
      <c r="F43" t="s">
        <v>12</v>
      </c>
      <c r="G43" t="s">
        <v>13</v>
      </c>
    </row>
    <row r="44" spans="1:7" ht="12.75">
      <c r="A44">
        <v>7</v>
      </c>
      <c r="B44" t="s">
        <v>760</v>
      </c>
      <c r="C44" t="s">
        <v>763</v>
      </c>
      <c r="D44" t="s">
        <v>6</v>
      </c>
      <c r="E44" t="s">
        <v>7</v>
      </c>
      <c r="F44" t="s">
        <v>12</v>
      </c>
      <c r="G44" t="s">
        <v>13</v>
      </c>
    </row>
    <row r="45" spans="1:7" ht="12.75">
      <c r="A45">
        <v>7</v>
      </c>
      <c r="B45" t="s">
        <v>760</v>
      </c>
      <c r="C45" t="s">
        <v>764</v>
      </c>
      <c r="D45" t="s">
        <v>6</v>
      </c>
      <c r="E45" t="s">
        <v>7</v>
      </c>
      <c r="F45" t="s">
        <v>12</v>
      </c>
      <c r="G45" t="s">
        <v>13</v>
      </c>
    </row>
    <row r="46" spans="1:7" ht="12.75">
      <c r="A46">
        <v>7</v>
      </c>
      <c r="B46" t="s">
        <v>15</v>
      </c>
      <c r="C46" t="s">
        <v>18</v>
      </c>
      <c r="D46" t="s">
        <v>6</v>
      </c>
      <c r="E46" t="s">
        <v>7</v>
      </c>
      <c r="F46" t="s">
        <v>12</v>
      </c>
      <c r="G46" t="s">
        <v>13</v>
      </c>
    </row>
    <row r="47" spans="1:7" ht="12.75">
      <c r="A47">
        <v>7</v>
      </c>
      <c r="B47" t="s">
        <v>15</v>
      </c>
      <c r="C47" t="s">
        <v>28</v>
      </c>
      <c r="D47" t="s">
        <v>6</v>
      </c>
      <c r="E47" t="s">
        <v>7</v>
      </c>
      <c r="F47" t="s">
        <v>12</v>
      </c>
      <c r="G47" t="s">
        <v>13</v>
      </c>
    </row>
    <row r="48" spans="1:7" ht="12.75">
      <c r="A48">
        <v>7</v>
      </c>
      <c r="B48" t="s">
        <v>15</v>
      </c>
      <c r="C48" t="s">
        <v>30</v>
      </c>
      <c r="D48" t="s">
        <v>6</v>
      </c>
      <c r="E48" t="s">
        <v>7</v>
      </c>
      <c r="F48" t="s">
        <v>12</v>
      </c>
      <c r="G48" t="s">
        <v>13</v>
      </c>
    </row>
    <row r="49" spans="1:7" ht="12.75">
      <c r="A49">
        <v>7</v>
      </c>
      <c r="B49" t="s">
        <v>35</v>
      </c>
      <c r="C49" s="2" t="s">
        <v>982</v>
      </c>
      <c r="D49" t="s">
        <v>6</v>
      </c>
      <c r="E49" t="s">
        <v>7</v>
      </c>
      <c r="F49" t="s">
        <v>12</v>
      </c>
      <c r="G49" t="s">
        <v>13</v>
      </c>
    </row>
    <row r="50" spans="1:7" ht="12.75">
      <c r="A50">
        <v>7</v>
      </c>
      <c r="B50" t="s">
        <v>35</v>
      </c>
      <c r="C50" s="2" t="s">
        <v>983</v>
      </c>
      <c r="D50" t="s">
        <v>6</v>
      </c>
      <c r="E50" t="s">
        <v>7</v>
      </c>
      <c r="F50" t="s">
        <v>12</v>
      </c>
      <c r="G50" t="s">
        <v>13</v>
      </c>
    </row>
    <row r="51" spans="1:7" ht="12.75">
      <c r="A51">
        <v>7</v>
      </c>
      <c r="B51" t="s">
        <v>35</v>
      </c>
      <c r="C51" s="2" t="s">
        <v>984</v>
      </c>
      <c r="D51" t="s">
        <v>6</v>
      </c>
      <c r="E51" t="s">
        <v>7</v>
      </c>
      <c r="F51" t="s">
        <v>12</v>
      </c>
      <c r="G51" t="s">
        <v>13</v>
      </c>
    </row>
    <row r="53" spans="1:9" ht="12.75">
      <c r="A53">
        <v>7</v>
      </c>
      <c r="C53" t="s">
        <v>596</v>
      </c>
      <c r="D53" t="s">
        <v>8</v>
      </c>
      <c r="E53" t="s">
        <v>9</v>
      </c>
      <c r="F53" t="s">
        <v>12</v>
      </c>
      <c r="G53" t="s">
        <v>13</v>
      </c>
      <c r="H53" t="str">
        <f>Report!H63</f>
        <v>0LI2</v>
      </c>
      <c r="I53" t="s">
        <v>407</v>
      </c>
    </row>
    <row r="54" spans="1:7" ht="12.75">
      <c r="A54">
        <v>7</v>
      </c>
      <c r="B54" s="2" t="s">
        <v>799</v>
      </c>
      <c r="C54" s="2" t="s">
        <v>961</v>
      </c>
      <c r="D54" t="s">
        <v>8</v>
      </c>
      <c r="E54" t="s">
        <v>9</v>
      </c>
      <c r="F54" t="s">
        <v>12</v>
      </c>
      <c r="G54" t="s">
        <v>13</v>
      </c>
    </row>
    <row r="55" spans="1:7" ht="12.75">
      <c r="A55">
        <v>7</v>
      </c>
      <c r="B55" t="s">
        <v>305</v>
      </c>
      <c r="C55" t="s">
        <v>344</v>
      </c>
      <c r="D55" t="s">
        <v>8</v>
      </c>
      <c r="E55" t="s">
        <v>9</v>
      </c>
      <c r="F55" t="s">
        <v>12</v>
      </c>
      <c r="G55" t="s">
        <v>13</v>
      </c>
    </row>
    <row r="56" spans="1:7" ht="12.75">
      <c r="A56">
        <v>7</v>
      </c>
      <c r="B56" t="s">
        <v>760</v>
      </c>
      <c r="C56" t="s">
        <v>766</v>
      </c>
      <c r="D56" t="s">
        <v>8</v>
      </c>
      <c r="E56" t="s">
        <v>9</v>
      </c>
      <c r="F56" t="s">
        <v>12</v>
      </c>
      <c r="G56" t="s">
        <v>13</v>
      </c>
    </row>
    <row r="57" spans="1:7" ht="12.75">
      <c r="A57">
        <v>7</v>
      </c>
      <c r="B57" t="s">
        <v>760</v>
      </c>
      <c r="C57" t="s">
        <v>767</v>
      </c>
      <c r="D57" t="s">
        <v>8</v>
      </c>
      <c r="E57" t="s">
        <v>9</v>
      </c>
      <c r="F57" t="s">
        <v>12</v>
      </c>
      <c r="G57" t="s">
        <v>13</v>
      </c>
    </row>
    <row r="58" spans="1:7" ht="12.75">
      <c r="A58">
        <v>7</v>
      </c>
      <c r="B58" t="s">
        <v>760</v>
      </c>
      <c r="C58" t="s">
        <v>768</v>
      </c>
      <c r="D58" t="s">
        <v>8</v>
      </c>
      <c r="E58" t="s">
        <v>9</v>
      </c>
      <c r="F58" t="s">
        <v>12</v>
      </c>
      <c r="G58" t="s">
        <v>13</v>
      </c>
    </row>
    <row r="59" spans="1:7" ht="12.75">
      <c r="A59">
        <v>7</v>
      </c>
      <c r="B59" t="s">
        <v>760</v>
      </c>
      <c r="C59" t="s">
        <v>764</v>
      </c>
      <c r="D59" t="s">
        <v>8</v>
      </c>
      <c r="E59" t="s">
        <v>9</v>
      </c>
      <c r="F59" t="s">
        <v>12</v>
      </c>
      <c r="G59" t="s">
        <v>13</v>
      </c>
    </row>
    <row r="60" spans="1:7" ht="12.75">
      <c r="A60">
        <v>7</v>
      </c>
      <c r="B60" t="s">
        <v>760</v>
      </c>
      <c r="C60" t="s">
        <v>769</v>
      </c>
      <c r="D60" t="s">
        <v>8</v>
      </c>
      <c r="E60" t="s">
        <v>9</v>
      </c>
      <c r="F60" t="s">
        <v>12</v>
      </c>
      <c r="G60" t="s">
        <v>13</v>
      </c>
    </row>
    <row r="61" spans="1:7" ht="12.75">
      <c r="A61">
        <v>7</v>
      </c>
      <c r="B61" t="s">
        <v>15</v>
      </c>
      <c r="C61" t="s">
        <v>29</v>
      </c>
      <c r="D61" t="s">
        <v>8</v>
      </c>
      <c r="E61" t="s">
        <v>9</v>
      </c>
      <c r="F61" t="s">
        <v>12</v>
      </c>
      <c r="G61" t="s">
        <v>13</v>
      </c>
    </row>
    <row r="62" spans="1:7" ht="12.75">
      <c r="A62">
        <v>7</v>
      </c>
      <c r="B62" t="s">
        <v>15</v>
      </c>
      <c r="C62" t="s">
        <v>31</v>
      </c>
      <c r="D62" t="s">
        <v>8</v>
      </c>
      <c r="E62" t="s">
        <v>9</v>
      </c>
      <c r="F62" t="s">
        <v>12</v>
      </c>
      <c r="G62" t="s">
        <v>13</v>
      </c>
    </row>
    <row r="63" spans="1:7" ht="12.75">
      <c r="A63">
        <v>7</v>
      </c>
      <c r="B63" t="s">
        <v>15</v>
      </c>
      <c r="C63" t="s">
        <v>32</v>
      </c>
      <c r="D63" t="s">
        <v>8</v>
      </c>
      <c r="E63" t="s">
        <v>9</v>
      </c>
      <c r="F63" t="s">
        <v>12</v>
      </c>
      <c r="G63" t="s">
        <v>13</v>
      </c>
    </row>
    <row r="64" spans="1:7" ht="12.75">
      <c r="A64">
        <v>7</v>
      </c>
      <c r="B64" t="s">
        <v>35</v>
      </c>
      <c r="C64" s="2" t="s">
        <v>981</v>
      </c>
      <c r="D64" t="s">
        <v>8</v>
      </c>
      <c r="E64" t="s">
        <v>9</v>
      </c>
      <c r="F64" t="s">
        <v>12</v>
      </c>
      <c r="G64" t="s">
        <v>13</v>
      </c>
    </row>
    <row r="66" spans="1:9" ht="12.75">
      <c r="A66">
        <v>7</v>
      </c>
      <c r="C66" s="2" t="s">
        <v>976</v>
      </c>
      <c r="D66" t="s">
        <v>6</v>
      </c>
      <c r="E66" t="s">
        <v>8</v>
      </c>
      <c r="F66" t="s">
        <v>7</v>
      </c>
      <c r="G66" t="s">
        <v>13</v>
      </c>
      <c r="H66" t="str">
        <f>Report!H64</f>
        <v>9PI10</v>
      </c>
      <c r="I66" t="s">
        <v>601</v>
      </c>
    </row>
    <row r="67" spans="1:7" ht="12.75">
      <c r="A67">
        <v>7</v>
      </c>
      <c r="B67" t="s">
        <v>15</v>
      </c>
      <c r="C67" t="s">
        <v>20</v>
      </c>
      <c r="D67" t="s">
        <v>6</v>
      </c>
      <c r="E67" t="s">
        <v>8</v>
      </c>
      <c r="F67" t="s">
        <v>7</v>
      </c>
      <c r="G67" t="s">
        <v>13</v>
      </c>
    </row>
    <row r="68" spans="1:7" ht="12.75">
      <c r="A68">
        <v>7</v>
      </c>
      <c r="B68" t="s">
        <v>35</v>
      </c>
      <c r="C68" s="2" t="s">
        <v>979</v>
      </c>
      <c r="D68" t="s">
        <v>6</v>
      </c>
      <c r="E68" t="s">
        <v>8</v>
      </c>
      <c r="F68" t="s">
        <v>7</v>
      </c>
      <c r="G68" t="s">
        <v>13</v>
      </c>
    </row>
    <row r="69" ht="12.75">
      <c r="C69" s="2" t="s">
        <v>980</v>
      </c>
    </row>
    <row r="71" spans="1:9" ht="12.75">
      <c r="A71">
        <v>7</v>
      </c>
      <c r="C71" s="2" t="s">
        <v>975</v>
      </c>
      <c r="D71" t="s">
        <v>9</v>
      </c>
      <c r="E71" t="s">
        <v>6</v>
      </c>
      <c r="F71" t="s">
        <v>12</v>
      </c>
      <c r="G71" t="s">
        <v>14</v>
      </c>
      <c r="H71" t="str">
        <f>Report!H65</f>
        <v>1VI54</v>
      </c>
      <c r="I71" t="s">
        <v>467</v>
      </c>
    </row>
    <row r="72" spans="1:7" ht="12.75">
      <c r="A72">
        <v>12</v>
      </c>
      <c r="B72" t="s">
        <v>61</v>
      </c>
      <c r="C72" s="2" t="s">
        <v>978</v>
      </c>
      <c r="D72" t="s">
        <v>9</v>
      </c>
      <c r="E72" t="s">
        <v>6</v>
      </c>
      <c r="F72" t="s">
        <v>12</v>
      </c>
      <c r="G72" t="s">
        <v>14</v>
      </c>
    </row>
    <row r="73" spans="1:7" ht="12.75">
      <c r="A73">
        <v>7</v>
      </c>
      <c r="B73" t="s">
        <v>35</v>
      </c>
      <c r="C73" s="2" t="s">
        <v>977</v>
      </c>
      <c r="D73" t="s">
        <v>9</v>
      </c>
      <c r="E73" t="s">
        <v>6</v>
      </c>
      <c r="F73" t="s">
        <v>12</v>
      </c>
      <c r="G73" t="s">
        <v>14</v>
      </c>
    </row>
    <row r="75" spans="1:9" ht="12.75">
      <c r="A75">
        <v>7</v>
      </c>
      <c r="C75" s="2" t="s">
        <v>973</v>
      </c>
      <c r="D75" t="s">
        <v>8</v>
      </c>
      <c r="E75" t="s">
        <v>7</v>
      </c>
      <c r="F75" t="s">
        <v>12</v>
      </c>
      <c r="G75" t="s">
        <v>13</v>
      </c>
      <c r="H75" t="str">
        <f>Report!H66</f>
        <v>11PI52</v>
      </c>
      <c r="I75" t="s">
        <v>408</v>
      </c>
    </row>
    <row r="76" spans="1:7" ht="12.75">
      <c r="A76">
        <v>7</v>
      </c>
      <c r="B76" t="s">
        <v>760</v>
      </c>
      <c r="C76" t="s">
        <v>0</v>
      </c>
      <c r="D76" t="s">
        <v>8</v>
      </c>
      <c r="E76" t="s">
        <v>7</v>
      </c>
      <c r="F76" t="s">
        <v>12</v>
      </c>
      <c r="G76" t="s">
        <v>13</v>
      </c>
    </row>
    <row r="77" spans="1:7" ht="12.75">
      <c r="A77">
        <v>7</v>
      </c>
      <c r="B77" t="s">
        <v>15</v>
      </c>
      <c r="C77" t="s">
        <v>21</v>
      </c>
      <c r="D77" t="s">
        <v>8</v>
      </c>
      <c r="E77" t="s">
        <v>7</v>
      </c>
      <c r="F77" t="s">
        <v>12</v>
      </c>
      <c r="G77" t="s">
        <v>13</v>
      </c>
    </row>
    <row r="78" spans="1:7" ht="12.75">
      <c r="A78">
        <v>7</v>
      </c>
      <c r="B78" t="s">
        <v>35</v>
      </c>
      <c r="C78" s="2" t="s">
        <v>972</v>
      </c>
      <c r="D78" t="s">
        <v>8</v>
      </c>
      <c r="E78" t="s">
        <v>7</v>
      </c>
      <c r="F78" t="s">
        <v>12</v>
      </c>
      <c r="G78" t="s">
        <v>13</v>
      </c>
    </row>
    <row r="79" ht="12.75">
      <c r="C79" s="2" t="s">
        <v>970</v>
      </c>
    </row>
    <row r="81" spans="1:9" ht="12.75">
      <c r="A81">
        <v>7</v>
      </c>
      <c r="C81" s="2" t="s">
        <v>974</v>
      </c>
      <c r="D81" t="s">
        <v>9</v>
      </c>
      <c r="E81" t="s">
        <v>10</v>
      </c>
      <c r="F81" t="s">
        <v>12</v>
      </c>
      <c r="G81" t="s">
        <v>14</v>
      </c>
      <c r="H81" t="str">
        <f>Report!H67</f>
        <v>3LE10</v>
      </c>
      <c r="I81" t="s">
        <v>595</v>
      </c>
    </row>
    <row r="82" spans="1:7" ht="12.75">
      <c r="A82">
        <v>7</v>
      </c>
      <c r="B82" t="s">
        <v>760</v>
      </c>
      <c r="C82" t="s">
        <v>4</v>
      </c>
      <c r="D82" t="s">
        <v>9</v>
      </c>
      <c r="E82" t="s">
        <v>10</v>
      </c>
      <c r="F82" t="s">
        <v>12</v>
      </c>
      <c r="G82" t="s">
        <v>14</v>
      </c>
    </row>
    <row r="83" spans="1:7" ht="12.75">
      <c r="A83">
        <v>7</v>
      </c>
      <c r="B83" t="s">
        <v>15</v>
      </c>
      <c r="C83" t="s">
        <v>33</v>
      </c>
      <c r="D83" t="s">
        <v>9</v>
      </c>
      <c r="E83" t="s">
        <v>10</v>
      </c>
      <c r="F83" t="s">
        <v>12</v>
      </c>
      <c r="G83" t="s">
        <v>13</v>
      </c>
    </row>
    <row r="84" spans="1:7" ht="12.75">
      <c r="A84">
        <v>7</v>
      </c>
      <c r="B84" t="s">
        <v>35</v>
      </c>
      <c r="C84" s="2" t="s">
        <v>971</v>
      </c>
      <c r="D84" t="s">
        <v>9</v>
      </c>
      <c r="E84" t="s">
        <v>10</v>
      </c>
      <c r="F84" t="s">
        <v>12</v>
      </c>
      <c r="G84" t="s">
        <v>14</v>
      </c>
    </row>
    <row r="85" ht="12.75">
      <c r="C85" s="2" t="s">
        <v>970</v>
      </c>
    </row>
    <row r="86" ht="12.75">
      <c r="C86" s="2"/>
    </row>
    <row r="87" ht="12.75">
      <c r="C87" s="6" t="s">
        <v>967</v>
      </c>
    </row>
    <row r="88" ht="12.75">
      <c r="C88" s="2"/>
    </row>
    <row r="89" spans="1:7" ht="12.75">
      <c r="A89">
        <v>7</v>
      </c>
      <c r="B89" t="s">
        <v>35</v>
      </c>
      <c r="C89" s="2" t="s">
        <v>969</v>
      </c>
      <c r="D89" t="s">
        <v>5</v>
      </c>
      <c r="E89" t="s">
        <v>7</v>
      </c>
      <c r="F89" t="s">
        <v>12</v>
      </c>
      <c r="G89" t="s">
        <v>13</v>
      </c>
    </row>
    <row r="90" ht="12.75">
      <c r="C90" s="2" t="s">
        <v>966</v>
      </c>
    </row>
    <row r="92" spans="1:7" ht="12.75">
      <c r="A92">
        <v>7</v>
      </c>
      <c r="B92" t="s">
        <v>760</v>
      </c>
      <c r="C92" s="2" t="s">
        <v>968</v>
      </c>
      <c r="D92" t="s">
        <v>5</v>
      </c>
      <c r="E92" t="s">
        <v>7</v>
      </c>
      <c r="F92" t="s">
        <v>12</v>
      </c>
      <c r="G92" t="s">
        <v>14</v>
      </c>
    </row>
    <row r="94" ht="12.75">
      <c r="C94" s="5"/>
    </row>
  </sheetData>
  <sheetProtection/>
  <printOptions/>
  <pageMargins left="0.75" right="0.75" top="1" bottom="1" header="0.5" footer="0.5"/>
  <pageSetup fitToHeight="2" fitToWidth="1" horizontalDpi="600" verticalDpi="600" orientation="landscape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8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.00390625" style="0" customWidth="1"/>
    <col min="3" max="3" width="48.57421875" style="0" customWidth="1"/>
  </cols>
  <sheetData>
    <row r="2" ht="12.75">
      <c r="C2" s="6" t="s">
        <v>848</v>
      </c>
    </row>
    <row r="4" spans="1:9" ht="12.75">
      <c r="A4">
        <v>8</v>
      </c>
      <c r="C4" s="2" t="s">
        <v>989</v>
      </c>
      <c r="D4" t="s">
        <v>8</v>
      </c>
      <c r="E4" t="s">
        <v>267</v>
      </c>
      <c r="F4" t="s">
        <v>5</v>
      </c>
      <c r="G4" t="s">
        <v>13</v>
      </c>
      <c r="H4" t="str">
        <f>Report!H69</f>
        <v>11GE51</v>
      </c>
      <c r="I4" t="str">
        <f>Report!I69</f>
        <v>18CA9</v>
      </c>
    </row>
    <row r="5" spans="1:7" ht="12.75">
      <c r="A5">
        <v>8</v>
      </c>
      <c r="B5" s="2" t="s">
        <v>799</v>
      </c>
      <c r="C5" s="2" t="s">
        <v>996</v>
      </c>
      <c r="D5" t="s">
        <v>8</v>
      </c>
      <c r="E5" t="s">
        <v>267</v>
      </c>
      <c r="F5" t="s">
        <v>5</v>
      </c>
      <c r="G5" t="s">
        <v>13</v>
      </c>
    </row>
    <row r="6" spans="1:7" ht="12.75">
      <c r="A6">
        <v>8</v>
      </c>
      <c r="B6" t="s">
        <v>305</v>
      </c>
      <c r="C6" t="s">
        <v>346</v>
      </c>
      <c r="D6" t="s">
        <v>8</v>
      </c>
      <c r="E6" t="s">
        <v>267</v>
      </c>
      <c r="F6" t="s">
        <v>5</v>
      </c>
      <c r="G6" t="s">
        <v>13</v>
      </c>
    </row>
    <row r="7" spans="1:7" ht="12.75">
      <c r="A7">
        <v>8</v>
      </c>
      <c r="B7" t="s">
        <v>269</v>
      </c>
      <c r="C7" s="2" t="s">
        <v>370</v>
      </c>
      <c r="D7" t="s">
        <v>8</v>
      </c>
      <c r="E7" t="s">
        <v>267</v>
      </c>
      <c r="F7" t="s">
        <v>5</v>
      </c>
      <c r="G7" t="s">
        <v>13</v>
      </c>
    </row>
    <row r="8" spans="1:7" ht="12.75">
      <c r="A8">
        <v>8</v>
      </c>
      <c r="B8" t="s">
        <v>15</v>
      </c>
      <c r="C8" t="s">
        <v>370</v>
      </c>
      <c r="D8" t="s">
        <v>8</v>
      </c>
      <c r="E8" t="s">
        <v>267</v>
      </c>
      <c r="F8" t="s">
        <v>5</v>
      </c>
      <c r="G8" t="s">
        <v>13</v>
      </c>
    </row>
    <row r="9" spans="1:7" ht="12.75">
      <c r="A9">
        <v>8</v>
      </c>
      <c r="B9" t="s">
        <v>61</v>
      </c>
      <c r="C9" s="2" t="s">
        <v>370</v>
      </c>
      <c r="D9" t="s">
        <v>8</v>
      </c>
      <c r="E9" t="s">
        <v>267</v>
      </c>
      <c r="F9" t="s">
        <v>5</v>
      </c>
      <c r="G9" t="s">
        <v>13</v>
      </c>
    </row>
    <row r="10" spans="1:7" ht="12.75">
      <c r="A10">
        <v>8</v>
      </c>
      <c r="B10" t="s">
        <v>35</v>
      </c>
      <c r="C10" s="2" t="s">
        <v>370</v>
      </c>
      <c r="D10" t="s">
        <v>8</v>
      </c>
      <c r="E10" t="s">
        <v>267</v>
      </c>
      <c r="F10" t="s">
        <v>5</v>
      </c>
      <c r="G10" t="s">
        <v>13</v>
      </c>
    </row>
    <row r="12" spans="1:9" ht="12.75">
      <c r="A12">
        <v>8</v>
      </c>
      <c r="C12" s="2" t="s">
        <v>1000</v>
      </c>
      <c r="D12" t="s">
        <v>371</v>
      </c>
      <c r="E12" t="s">
        <v>8</v>
      </c>
      <c r="F12" t="s">
        <v>12</v>
      </c>
      <c r="G12" t="s">
        <v>14</v>
      </c>
      <c r="H12" t="str">
        <f>Report!H70</f>
        <v>26AQ37</v>
      </c>
      <c r="I12" t="str">
        <f>Report!I70</f>
        <v>3SC23</v>
      </c>
    </row>
    <row r="13" spans="1:7" ht="12.75">
      <c r="A13">
        <v>8</v>
      </c>
      <c r="B13" s="2" t="s">
        <v>799</v>
      </c>
      <c r="C13" s="2" t="s">
        <v>997</v>
      </c>
      <c r="D13" t="s">
        <v>371</v>
      </c>
      <c r="E13" t="s">
        <v>8</v>
      </c>
      <c r="F13" t="s">
        <v>12</v>
      </c>
      <c r="G13" t="s">
        <v>14</v>
      </c>
    </row>
    <row r="14" spans="1:7" ht="12.75">
      <c r="A14">
        <v>8</v>
      </c>
      <c r="B14" t="s">
        <v>305</v>
      </c>
      <c r="C14" t="s">
        <v>347</v>
      </c>
      <c r="D14" t="s">
        <v>371</v>
      </c>
      <c r="E14" t="s">
        <v>8</v>
      </c>
      <c r="F14" t="s">
        <v>12</v>
      </c>
      <c r="G14" t="s">
        <v>14</v>
      </c>
    </row>
    <row r="15" spans="1:7" ht="12.75">
      <c r="A15">
        <v>8</v>
      </c>
      <c r="B15" t="s">
        <v>269</v>
      </c>
      <c r="C15" t="s">
        <v>474</v>
      </c>
      <c r="D15" t="s">
        <v>371</v>
      </c>
      <c r="E15" t="s">
        <v>8</v>
      </c>
      <c r="F15" t="s">
        <v>12</v>
      </c>
      <c r="G15" t="s">
        <v>14</v>
      </c>
    </row>
    <row r="16" spans="1:7" ht="12.75">
      <c r="A16">
        <v>8</v>
      </c>
      <c r="B16" t="s">
        <v>15</v>
      </c>
      <c r="C16" t="s">
        <v>376</v>
      </c>
      <c r="D16" t="s">
        <v>371</v>
      </c>
      <c r="E16" t="s">
        <v>8</v>
      </c>
      <c r="F16" t="s">
        <v>12</v>
      </c>
      <c r="G16" t="s">
        <v>14</v>
      </c>
    </row>
    <row r="17" spans="1:7" ht="12.75">
      <c r="A17">
        <v>8</v>
      </c>
      <c r="B17" t="s">
        <v>61</v>
      </c>
      <c r="C17" s="2" t="s">
        <v>376</v>
      </c>
      <c r="D17" t="s">
        <v>371</v>
      </c>
      <c r="E17" t="s">
        <v>8</v>
      </c>
      <c r="F17" t="s">
        <v>12</v>
      </c>
      <c r="G17" t="s">
        <v>14</v>
      </c>
    </row>
    <row r="18" spans="1:7" ht="12.75">
      <c r="A18">
        <v>8</v>
      </c>
      <c r="B18" t="s">
        <v>35</v>
      </c>
      <c r="C18" s="2" t="s">
        <v>376</v>
      </c>
      <c r="D18" t="s">
        <v>371</v>
      </c>
      <c r="E18" t="s">
        <v>8</v>
      </c>
      <c r="F18" t="s">
        <v>12</v>
      </c>
      <c r="G18" t="s">
        <v>14</v>
      </c>
    </row>
    <row r="20" spans="1:9" ht="12.75">
      <c r="A20">
        <v>8</v>
      </c>
      <c r="C20" s="2" t="s">
        <v>999</v>
      </c>
      <c r="D20" t="s">
        <v>5</v>
      </c>
      <c r="E20" t="s">
        <v>348</v>
      </c>
      <c r="F20" t="s">
        <v>12</v>
      </c>
      <c r="G20" t="s">
        <v>13</v>
      </c>
      <c r="H20" t="str">
        <f>Report!H71</f>
        <v>19PI56</v>
      </c>
      <c r="I20" t="str">
        <f>Report!I71</f>
        <v>10LI4</v>
      </c>
    </row>
    <row r="21" spans="1:7" ht="12.75">
      <c r="A21">
        <v>8</v>
      </c>
      <c r="B21" s="2" t="s">
        <v>799</v>
      </c>
      <c r="C21" s="2" t="s">
        <v>998</v>
      </c>
      <c r="D21" t="s">
        <v>5</v>
      </c>
      <c r="E21" t="s">
        <v>348</v>
      </c>
      <c r="F21" t="s">
        <v>12</v>
      </c>
      <c r="G21" t="s">
        <v>13</v>
      </c>
    </row>
    <row r="22" spans="1:7" ht="12.75">
      <c r="A22">
        <v>8</v>
      </c>
      <c r="B22" t="s">
        <v>305</v>
      </c>
      <c r="C22" t="s">
        <v>350</v>
      </c>
      <c r="D22" t="s">
        <v>5</v>
      </c>
      <c r="E22" t="s">
        <v>348</v>
      </c>
      <c r="F22" t="s">
        <v>12</v>
      </c>
      <c r="G22" t="s">
        <v>13</v>
      </c>
    </row>
    <row r="23" spans="1:7" ht="12.75">
      <c r="A23">
        <v>8</v>
      </c>
      <c r="B23" t="s">
        <v>305</v>
      </c>
      <c r="C23" t="s">
        <v>349</v>
      </c>
      <c r="D23" t="s">
        <v>5</v>
      </c>
      <c r="E23" t="s">
        <v>348</v>
      </c>
      <c r="F23" t="s">
        <v>12</v>
      </c>
      <c r="G23" t="s">
        <v>13</v>
      </c>
    </row>
    <row r="24" spans="1:7" ht="12.75">
      <c r="A24">
        <v>8</v>
      </c>
      <c r="B24" t="s">
        <v>269</v>
      </c>
      <c r="C24" s="2" t="s">
        <v>993</v>
      </c>
      <c r="D24" t="s">
        <v>5</v>
      </c>
      <c r="E24" t="s">
        <v>348</v>
      </c>
      <c r="F24" t="s">
        <v>12</v>
      </c>
      <c r="G24" t="s">
        <v>13</v>
      </c>
    </row>
    <row r="25" spans="1:7" ht="12.75">
      <c r="A25">
        <v>8</v>
      </c>
      <c r="B25" t="s">
        <v>15</v>
      </c>
      <c r="C25" t="s">
        <v>377</v>
      </c>
      <c r="D25" t="s">
        <v>5</v>
      </c>
      <c r="E25" t="s">
        <v>348</v>
      </c>
      <c r="F25" t="s">
        <v>12</v>
      </c>
      <c r="G25" t="s">
        <v>13</v>
      </c>
    </row>
    <row r="26" spans="1:7" ht="12.75">
      <c r="A26">
        <v>8</v>
      </c>
      <c r="B26" t="s">
        <v>61</v>
      </c>
      <c r="C26" s="2" t="s">
        <v>994</v>
      </c>
      <c r="D26" t="s">
        <v>5</v>
      </c>
      <c r="E26" t="s">
        <v>348</v>
      </c>
      <c r="F26" t="s">
        <v>12</v>
      </c>
      <c r="G26" t="s">
        <v>13</v>
      </c>
    </row>
    <row r="27" spans="1:7" ht="12.75">
      <c r="A27">
        <v>8</v>
      </c>
      <c r="B27" t="s">
        <v>35</v>
      </c>
      <c r="C27" s="2" t="s">
        <v>995</v>
      </c>
      <c r="D27" t="s">
        <v>5</v>
      </c>
      <c r="E27" t="s">
        <v>348</v>
      </c>
      <c r="F27" t="s">
        <v>12</v>
      </c>
      <c r="G27" t="s">
        <v>13</v>
      </c>
    </row>
    <row r="29" spans="1:9" ht="12.75">
      <c r="A29">
        <v>8</v>
      </c>
      <c r="C29" s="2" t="s">
        <v>1003</v>
      </c>
      <c r="D29" t="s">
        <v>5</v>
      </c>
      <c r="E29" t="s">
        <v>9</v>
      </c>
      <c r="F29" t="s">
        <v>50</v>
      </c>
      <c r="G29" t="s">
        <v>14</v>
      </c>
      <c r="H29" t="str">
        <f>Report!H72</f>
        <v>17AR46</v>
      </c>
      <c r="I29" t="str">
        <f>Report!I72</f>
        <v>12VI14</v>
      </c>
    </row>
    <row r="30" spans="1:7" ht="12.75">
      <c r="A30">
        <v>8</v>
      </c>
      <c r="B30" s="2" t="s">
        <v>799</v>
      </c>
      <c r="C30" s="2" t="s">
        <v>1004</v>
      </c>
      <c r="D30" t="s">
        <v>5</v>
      </c>
      <c r="E30" t="s">
        <v>9</v>
      </c>
      <c r="F30" t="s">
        <v>50</v>
      </c>
      <c r="G30" t="s">
        <v>14</v>
      </c>
    </row>
    <row r="31" spans="1:7" ht="12.75">
      <c r="A31">
        <v>8</v>
      </c>
      <c r="B31" t="s">
        <v>305</v>
      </c>
      <c r="C31" t="s">
        <v>351</v>
      </c>
      <c r="D31" t="s">
        <v>5</v>
      </c>
      <c r="E31" t="s">
        <v>9</v>
      </c>
      <c r="F31" t="s">
        <v>50</v>
      </c>
      <c r="G31" t="s">
        <v>14</v>
      </c>
    </row>
    <row r="32" spans="1:7" ht="12.75">
      <c r="A32">
        <v>8</v>
      </c>
      <c r="B32" t="s">
        <v>305</v>
      </c>
      <c r="C32" t="s">
        <v>406</v>
      </c>
      <c r="D32" t="s">
        <v>5</v>
      </c>
      <c r="E32" t="s">
        <v>9</v>
      </c>
      <c r="F32" s="4" t="s">
        <v>12</v>
      </c>
      <c r="G32" t="s">
        <v>14</v>
      </c>
    </row>
    <row r="33" spans="1:7" ht="12.75">
      <c r="A33">
        <v>8</v>
      </c>
      <c r="B33" t="s">
        <v>269</v>
      </c>
      <c r="C33" s="2" t="s">
        <v>992</v>
      </c>
      <c r="D33" t="s">
        <v>5</v>
      </c>
      <c r="E33" t="s">
        <v>9</v>
      </c>
      <c r="F33" t="s">
        <v>50</v>
      </c>
      <c r="G33" t="s">
        <v>14</v>
      </c>
    </row>
    <row r="34" spans="1:7" ht="12.75">
      <c r="A34">
        <v>8</v>
      </c>
      <c r="B34" t="s">
        <v>15</v>
      </c>
      <c r="C34" t="s">
        <v>378</v>
      </c>
      <c r="D34" t="s">
        <v>5</v>
      </c>
      <c r="E34" t="s">
        <v>9</v>
      </c>
      <c r="F34" t="s">
        <v>50</v>
      </c>
      <c r="G34" t="s">
        <v>14</v>
      </c>
    </row>
    <row r="35" spans="1:7" ht="12.75">
      <c r="A35">
        <v>8</v>
      </c>
      <c r="B35" t="s">
        <v>35</v>
      </c>
      <c r="C35" s="2" t="s">
        <v>991</v>
      </c>
      <c r="D35" t="s">
        <v>5</v>
      </c>
      <c r="E35" t="s">
        <v>9</v>
      </c>
      <c r="F35" t="s">
        <v>50</v>
      </c>
      <c r="G35" t="s">
        <v>14</v>
      </c>
    </row>
    <row r="36" ht="12.75">
      <c r="C36" s="2" t="s">
        <v>1002</v>
      </c>
    </row>
    <row r="38" spans="1:9" ht="12.75">
      <c r="A38">
        <v>8</v>
      </c>
      <c r="C38" s="2" t="s">
        <v>1007</v>
      </c>
      <c r="D38" t="s">
        <v>5</v>
      </c>
      <c r="E38" t="s">
        <v>50</v>
      </c>
      <c r="F38" t="s">
        <v>12</v>
      </c>
      <c r="G38" t="s">
        <v>14</v>
      </c>
      <c r="H38" t="str">
        <f>Report!H73</f>
        <v>22VI47</v>
      </c>
      <c r="I38" t="str">
        <f>Report!I73</f>
        <v>7AR13</v>
      </c>
    </row>
    <row r="39" spans="1:7" ht="12.75">
      <c r="A39">
        <v>8</v>
      </c>
      <c r="B39" t="s">
        <v>269</v>
      </c>
      <c r="C39" s="2" t="s">
        <v>990</v>
      </c>
      <c r="D39" t="s">
        <v>5</v>
      </c>
      <c r="E39" t="s">
        <v>50</v>
      </c>
      <c r="F39" t="s">
        <v>12</v>
      </c>
      <c r="G39" t="s">
        <v>14</v>
      </c>
    </row>
    <row r="40" spans="1:7" ht="12.75">
      <c r="A40">
        <v>8</v>
      </c>
      <c r="B40" t="s">
        <v>15</v>
      </c>
      <c r="C40" t="s">
        <v>379</v>
      </c>
      <c r="D40" t="s">
        <v>5</v>
      </c>
      <c r="E40" t="s">
        <v>50</v>
      </c>
      <c r="F40" t="s">
        <v>12</v>
      </c>
      <c r="G40" t="s">
        <v>14</v>
      </c>
    </row>
    <row r="41" spans="1:7" ht="12.75">
      <c r="A41">
        <v>8</v>
      </c>
      <c r="B41" t="s">
        <v>35</v>
      </c>
      <c r="C41" t="s">
        <v>186</v>
      </c>
      <c r="D41" t="s">
        <v>5</v>
      </c>
      <c r="E41" t="s">
        <v>50</v>
      </c>
      <c r="F41" t="s">
        <v>12</v>
      </c>
      <c r="G41" t="s">
        <v>14</v>
      </c>
    </row>
    <row r="42" ht="12.75">
      <c r="C42" s="2" t="s">
        <v>1006</v>
      </c>
    </row>
    <row r="43" ht="12.75">
      <c r="C43" s="2"/>
    </row>
    <row r="44" ht="12.75">
      <c r="C44" s="1"/>
    </row>
    <row r="51" ht="12.75">
      <c r="C51" s="1"/>
    </row>
    <row r="63" ht="12.75">
      <c r="C63" s="1"/>
    </row>
    <row r="73" ht="12.75">
      <c r="C73" s="1"/>
    </row>
    <row r="75" ht="12.75">
      <c r="C75" s="1"/>
    </row>
    <row r="80" ht="12.75">
      <c r="C80" s="1"/>
    </row>
    <row r="82" ht="12.75">
      <c r="C82" s="1"/>
    </row>
    <row r="87" ht="12.75">
      <c r="C87" s="1"/>
    </row>
    <row r="89" ht="12.75">
      <c r="C89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24">
      <selection activeCell="C2" sqref="C2"/>
    </sheetView>
  </sheetViews>
  <sheetFormatPr defaultColWidth="9.140625" defaultRowHeight="12.75"/>
  <cols>
    <col min="1" max="1" width="2.57421875" style="0" customWidth="1"/>
    <col min="3" max="3" width="54.421875" style="0" customWidth="1"/>
    <col min="4" max="4" width="8.00390625" style="0" bestFit="1" customWidth="1"/>
    <col min="6" max="6" width="8.00390625" style="0" customWidth="1"/>
    <col min="7" max="7" width="7.7109375" style="0" bestFit="1" customWidth="1"/>
  </cols>
  <sheetData>
    <row r="2" ht="12.75">
      <c r="C2" s="6" t="s">
        <v>849</v>
      </c>
    </row>
    <row r="4" spans="1:9" ht="12.75">
      <c r="A4">
        <v>9</v>
      </c>
      <c r="C4" s="2" t="s">
        <v>1009</v>
      </c>
      <c r="D4" t="s">
        <v>266</v>
      </c>
      <c r="E4" t="s">
        <v>268</v>
      </c>
      <c r="F4" t="s">
        <v>12</v>
      </c>
      <c r="G4" t="s">
        <v>13</v>
      </c>
      <c r="H4" t="str">
        <f>Report!H75</f>
        <v>0CA56</v>
      </c>
      <c r="I4" t="str">
        <f>Report!I75</f>
        <v>29GE4</v>
      </c>
    </row>
    <row r="5" spans="1:7" ht="12.75">
      <c r="A5">
        <v>9</v>
      </c>
      <c r="B5" s="2" t="s">
        <v>799</v>
      </c>
      <c r="C5" s="2" t="s">
        <v>1019</v>
      </c>
      <c r="D5" t="s">
        <v>266</v>
      </c>
      <c r="E5" t="s">
        <v>268</v>
      </c>
      <c r="F5" t="s">
        <v>12</v>
      </c>
      <c r="G5" t="s">
        <v>13</v>
      </c>
    </row>
    <row r="6" spans="1:7" ht="12.75">
      <c r="A6">
        <v>9</v>
      </c>
      <c r="B6" t="s">
        <v>305</v>
      </c>
      <c r="C6" t="s">
        <v>352</v>
      </c>
      <c r="D6" t="s">
        <v>266</v>
      </c>
      <c r="E6" t="s">
        <v>268</v>
      </c>
      <c r="F6" t="s">
        <v>12</v>
      </c>
      <c r="G6" t="s">
        <v>13</v>
      </c>
    </row>
    <row r="7" spans="1:7" ht="12.75">
      <c r="A7">
        <v>9</v>
      </c>
      <c r="B7" t="s">
        <v>269</v>
      </c>
      <c r="C7" t="s">
        <v>270</v>
      </c>
      <c r="D7" t="s">
        <v>266</v>
      </c>
      <c r="E7" t="s">
        <v>268</v>
      </c>
      <c r="F7" t="s">
        <v>12</v>
      </c>
      <c r="G7" t="s">
        <v>13</v>
      </c>
    </row>
    <row r="8" spans="1:7" ht="12.75">
      <c r="A8">
        <v>9</v>
      </c>
      <c r="B8" t="s">
        <v>15</v>
      </c>
      <c r="C8" t="s">
        <v>265</v>
      </c>
      <c r="D8" t="s">
        <v>266</v>
      </c>
      <c r="E8" t="s">
        <v>267</v>
      </c>
      <c r="F8" t="s">
        <v>12</v>
      </c>
      <c r="G8" t="s">
        <v>13</v>
      </c>
    </row>
    <row r="9" spans="1:7" ht="12.75">
      <c r="A9">
        <v>9</v>
      </c>
      <c r="B9" t="s">
        <v>61</v>
      </c>
      <c r="C9" s="2" t="s">
        <v>1010</v>
      </c>
      <c r="D9" t="s">
        <v>266</v>
      </c>
      <c r="E9" t="s">
        <v>268</v>
      </c>
      <c r="F9" t="s">
        <v>12</v>
      </c>
      <c r="G9" t="s">
        <v>14</v>
      </c>
    </row>
    <row r="10" spans="1:7" ht="12.75">
      <c r="A10">
        <v>9</v>
      </c>
      <c r="B10" t="s">
        <v>35</v>
      </c>
      <c r="C10" s="2" t="s">
        <v>1011</v>
      </c>
      <c r="D10" t="s">
        <v>266</v>
      </c>
      <c r="E10" t="s">
        <v>268</v>
      </c>
      <c r="F10" t="s">
        <v>12</v>
      </c>
      <c r="G10" t="s">
        <v>13</v>
      </c>
    </row>
    <row r="12" spans="1:9" ht="12.75">
      <c r="A12">
        <v>9</v>
      </c>
      <c r="C12" s="2" t="s">
        <v>1021</v>
      </c>
      <c r="D12" t="s">
        <v>5</v>
      </c>
      <c r="E12" t="s">
        <v>272</v>
      </c>
      <c r="F12" t="s">
        <v>12</v>
      </c>
      <c r="G12" t="s">
        <v>14</v>
      </c>
      <c r="H12" t="str">
        <f>Report!H76</f>
        <v>17TA53</v>
      </c>
      <c r="I12" t="str">
        <f>Report!I76</f>
        <v>12LE7</v>
      </c>
    </row>
    <row r="13" spans="1:7" ht="12.75">
      <c r="A13">
        <v>9</v>
      </c>
      <c r="B13" s="2" t="s">
        <v>799</v>
      </c>
      <c r="C13" s="2" t="s">
        <v>1020</v>
      </c>
      <c r="D13" t="s">
        <v>5</v>
      </c>
      <c r="E13" t="s">
        <v>272</v>
      </c>
      <c r="F13" t="s">
        <v>12</v>
      </c>
      <c r="G13" t="s">
        <v>14</v>
      </c>
    </row>
    <row r="14" spans="1:7" ht="12.75">
      <c r="A14">
        <v>9</v>
      </c>
      <c r="B14" t="s">
        <v>305</v>
      </c>
      <c r="C14" t="s">
        <v>353</v>
      </c>
      <c r="D14" t="s">
        <v>5</v>
      </c>
      <c r="E14" t="s">
        <v>272</v>
      </c>
      <c r="F14" t="s">
        <v>12</v>
      </c>
      <c r="G14" t="s">
        <v>14</v>
      </c>
    </row>
    <row r="15" spans="1:7" ht="12.75">
      <c r="A15">
        <v>9</v>
      </c>
      <c r="B15" t="s">
        <v>61</v>
      </c>
      <c r="C15" s="2" t="s">
        <v>1012</v>
      </c>
      <c r="D15" t="s">
        <v>5</v>
      </c>
      <c r="E15" t="s">
        <v>272</v>
      </c>
      <c r="F15" t="s">
        <v>12</v>
      </c>
      <c r="G15" t="s">
        <v>14</v>
      </c>
    </row>
    <row r="16" spans="1:7" ht="12.75">
      <c r="A16">
        <v>9</v>
      </c>
      <c r="B16" t="s">
        <v>15</v>
      </c>
      <c r="C16" t="s">
        <v>273</v>
      </c>
      <c r="D16" t="s">
        <v>5</v>
      </c>
      <c r="E16" t="s">
        <v>272</v>
      </c>
      <c r="F16" t="s">
        <v>12</v>
      </c>
      <c r="G16" t="s">
        <v>14</v>
      </c>
    </row>
    <row r="17" spans="1:7" ht="12.75">
      <c r="A17">
        <v>9</v>
      </c>
      <c r="B17" t="s">
        <v>269</v>
      </c>
      <c r="C17" t="s">
        <v>274</v>
      </c>
      <c r="D17" t="s">
        <v>5</v>
      </c>
      <c r="E17" t="s">
        <v>272</v>
      </c>
      <c r="F17" t="s">
        <v>12</v>
      </c>
      <c r="G17" t="s">
        <v>14</v>
      </c>
    </row>
    <row r="18" spans="1:7" ht="12.75">
      <c r="A18">
        <v>9</v>
      </c>
      <c r="B18" t="s">
        <v>35</v>
      </c>
      <c r="C18" s="2" t="s">
        <v>1013</v>
      </c>
      <c r="D18" t="s">
        <v>5</v>
      </c>
      <c r="E18" t="s">
        <v>272</v>
      </c>
      <c r="F18" t="s">
        <v>12</v>
      </c>
      <c r="G18" t="s">
        <v>14</v>
      </c>
    </row>
    <row r="20" spans="1:9" ht="12.75">
      <c r="A20">
        <v>9</v>
      </c>
      <c r="C20" s="2" t="s">
        <v>1032</v>
      </c>
      <c r="D20" t="s">
        <v>8</v>
      </c>
      <c r="E20" t="s">
        <v>50</v>
      </c>
      <c r="F20" t="s">
        <v>12</v>
      </c>
      <c r="G20" t="s">
        <v>14</v>
      </c>
      <c r="H20" t="str">
        <f>Report!H77</f>
        <v>14SC50</v>
      </c>
      <c r="I20" t="str">
        <f>Report!I77</f>
        <v>15AQ10</v>
      </c>
    </row>
    <row r="21" spans="1:3" ht="12.75">
      <c r="A21">
        <v>9</v>
      </c>
      <c r="B21" s="2" t="s">
        <v>799</v>
      </c>
      <c r="C21" s="2" t="s">
        <v>1033</v>
      </c>
    </row>
    <row r="22" spans="1:7" ht="12.75">
      <c r="A22">
        <v>9</v>
      </c>
      <c r="B22" t="s">
        <v>269</v>
      </c>
      <c r="C22" t="s">
        <v>277</v>
      </c>
      <c r="D22" t="s">
        <v>8</v>
      </c>
      <c r="E22" t="s">
        <v>50</v>
      </c>
      <c r="F22" t="s">
        <v>12</v>
      </c>
      <c r="G22" t="s">
        <v>14</v>
      </c>
    </row>
    <row r="23" spans="1:7" ht="12.75">
      <c r="A23">
        <v>9</v>
      </c>
      <c r="B23" t="s">
        <v>15</v>
      </c>
      <c r="C23" t="s">
        <v>276</v>
      </c>
      <c r="D23" t="s">
        <v>8</v>
      </c>
      <c r="E23" t="s">
        <v>50</v>
      </c>
      <c r="F23" t="s">
        <v>12</v>
      </c>
      <c r="G23" t="s">
        <v>14</v>
      </c>
    </row>
    <row r="24" spans="1:7" ht="12.75">
      <c r="A24">
        <v>9</v>
      </c>
      <c r="B24" t="s">
        <v>61</v>
      </c>
      <c r="C24" s="2" t="s">
        <v>1014</v>
      </c>
      <c r="D24" t="s">
        <v>8</v>
      </c>
      <c r="E24" t="s">
        <v>50</v>
      </c>
      <c r="F24" t="s">
        <v>12</v>
      </c>
      <c r="G24" t="s">
        <v>14</v>
      </c>
    </row>
    <row r="25" spans="1:7" ht="12.75">
      <c r="A25">
        <v>9</v>
      </c>
      <c r="B25" t="s">
        <v>35</v>
      </c>
      <c r="C25" s="2" t="s">
        <v>1014</v>
      </c>
      <c r="D25" t="s">
        <v>8</v>
      </c>
      <c r="E25" t="s">
        <v>50</v>
      </c>
      <c r="F25" t="s">
        <v>12</v>
      </c>
      <c r="G25" t="s">
        <v>14</v>
      </c>
    </row>
    <row r="26" spans="1:7" s="2" customFormat="1" ht="12.75">
      <c r="A26" s="2">
        <v>9</v>
      </c>
      <c r="B26" s="2" t="s">
        <v>698</v>
      </c>
      <c r="C26" s="2" t="s">
        <v>688</v>
      </c>
      <c r="D26" s="2" t="s">
        <v>8</v>
      </c>
      <c r="E26" s="2" t="s">
        <v>50</v>
      </c>
      <c r="F26" s="2" t="s">
        <v>12</v>
      </c>
      <c r="G26" s="2" t="s">
        <v>288</v>
      </c>
    </row>
    <row r="28" spans="1:9" ht="12.75">
      <c r="A28">
        <v>9</v>
      </c>
      <c r="C28" s="2" t="s">
        <v>1022</v>
      </c>
      <c r="D28" t="s">
        <v>5</v>
      </c>
      <c r="E28" t="s">
        <v>8</v>
      </c>
      <c r="F28" t="s">
        <v>12</v>
      </c>
      <c r="G28" t="s">
        <v>14</v>
      </c>
      <c r="H28" t="str">
        <f>Report!H78</f>
        <v>7SC42</v>
      </c>
      <c r="I28" t="str">
        <f>Report!I78</f>
        <v>22AQ18</v>
      </c>
    </row>
    <row r="29" spans="1:7" ht="12.75">
      <c r="A29">
        <v>9</v>
      </c>
      <c r="B29" s="2" t="s">
        <v>799</v>
      </c>
      <c r="C29" s="2" t="s">
        <v>1023</v>
      </c>
      <c r="D29" t="s">
        <v>5</v>
      </c>
      <c r="E29" t="s">
        <v>8</v>
      </c>
      <c r="F29" t="s">
        <v>12</v>
      </c>
      <c r="G29" t="s">
        <v>14</v>
      </c>
    </row>
    <row r="30" spans="1:7" ht="12.75">
      <c r="A30">
        <v>9</v>
      </c>
      <c r="B30" t="s">
        <v>305</v>
      </c>
      <c r="C30" t="s">
        <v>354</v>
      </c>
      <c r="D30" t="s">
        <v>5</v>
      </c>
      <c r="E30" t="s">
        <v>8</v>
      </c>
      <c r="F30" t="s">
        <v>12</v>
      </c>
      <c r="G30" t="s">
        <v>14</v>
      </c>
    </row>
    <row r="31" spans="1:7" ht="12.75">
      <c r="A31">
        <v>9</v>
      </c>
      <c r="B31" t="s">
        <v>269</v>
      </c>
      <c r="C31" t="s">
        <v>279</v>
      </c>
      <c r="D31" t="s">
        <v>5</v>
      </c>
      <c r="E31" t="s">
        <v>8</v>
      </c>
      <c r="F31" t="s">
        <v>12</v>
      </c>
      <c r="G31" t="s">
        <v>14</v>
      </c>
    </row>
    <row r="32" spans="1:7" ht="12.75">
      <c r="A32">
        <v>9</v>
      </c>
      <c r="B32" t="s">
        <v>35</v>
      </c>
      <c r="C32" s="2" t="s">
        <v>1015</v>
      </c>
      <c r="D32" t="s">
        <v>5</v>
      </c>
      <c r="E32" t="s">
        <v>8</v>
      </c>
      <c r="F32" t="s">
        <v>12</v>
      </c>
      <c r="G32" t="s">
        <v>14</v>
      </c>
    </row>
    <row r="34" spans="1:9" ht="12.75">
      <c r="A34">
        <v>9</v>
      </c>
      <c r="C34" s="2" t="s">
        <v>1024</v>
      </c>
      <c r="D34" t="s">
        <v>5</v>
      </c>
      <c r="E34" t="s">
        <v>10</v>
      </c>
      <c r="F34" t="s">
        <v>50</v>
      </c>
      <c r="G34" t="s">
        <v>14</v>
      </c>
      <c r="H34" t="str">
        <f>Report!H79</f>
        <v>21SC11</v>
      </c>
      <c r="I34" t="str">
        <f>Report!I79</f>
        <v>8AQ49</v>
      </c>
    </row>
    <row r="35" spans="1:7" ht="12.75">
      <c r="A35">
        <v>9</v>
      </c>
      <c r="B35" s="2" t="s">
        <v>799</v>
      </c>
      <c r="C35" s="2" t="s">
        <v>1025</v>
      </c>
      <c r="D35" t="s">
        <v>5</v>
      </c>
      <c r="E35" t="s">
        <v>10</v>
      </c>
      <c r="F35" t="s">
        <v>50</v>
      </c>
      <c r="G35" t="s">
        <v>14</v>
      </c>
    </row>
    <row r="36" spans="1:7" ht="12.75">
      <c r="A36">
        <v>9</v>
      </c>
      <c r="B36" t="s">
        <v>15</v>
      </c>
      <c r="C36" t="s">
        <v>278</v>
      </c>
      <c r="D36" t="s">
        <v>5</v>
      </c>
      <c r="E36" t="s">
        <v>10</v>
      </c>
      <c r="F36" t="s">
        <v>50</v>
      </c>
      <c r="G36" t="s">
        <v>14</v>
      </c>
    </row>
    <row r="37" spans="1:7" ht="12.75">
      <c r="A37">
        <v>9</v>
      </c>
      <c r="B37" t="s">
        <v>35</v>
      </c>
      <c r="C37" s="2" t="s">
        <v>142</v>
      </c>
      <c r="D37" t="s">
        <v>5</v>
      </c>
      <c r="E37" t="s">
        <v>10</v>
      </c>
      <c r="F37" t="s">
        <v>50</v>
      </c>
      <c r="G37" t="s">
        <v>14</v>
      </c>
    </row>
    <row r="39" spans="1:9" ht="12.75">
      <c r="A39">
        <v>9</v>
      </c>
      <c r="C39" s="2" t="s">
        <v>1016</v>
      </c>
      <c r="D39" t="s">
        <v>6</v>
      </c>
      <c r="E39" t="s">
        <v>10</v>
      </c>
      <c r="F39" t="s">
        <v>12</v>
      </c>
      <c r="G39" t="s">
        <v>14</v>
      </c>
      <c r="H39" t="str">
        <f>Report!H80</f>
        <v>1SA1</v>
      </c>
      <c r="I39" t="str">
        <f>Report!I80</f>
        <v>28CP59</v>
      </c>
    </row>
    <row r="40" spans="1:7" ht="12.75">
      <c r="A40">
        <v>9</v>
      </c>
      <c r="B40" t="s">
        <v>269</v>
      </c>
      <c r="C40" t="s">
        <v>281</v>
      </c>
      <c r="D40" t="s">
        <v>6</v>
      </c>
      <c r="E40" t="s">
        <v>10</v>
      </c>
      <c r="F40" t="s">
        <v>12</v>
      </c>
      <c r="G40" t="s">
        <v>14</v>
      </c>
    </row>
    <row r="41" spans="1:7" ht="12.75">
      <c r="A41">
        <v>9</v>
      </c>
      <c r="B41" t="s">
        <v>15</v>
      </c>
      <c r="C41" t="s">
        <v>280</v>
      </c>
      <c r="D41" t="s">
        <v>6</v>
      </c>
      <c r="E41" t="s">
        <v>10</v>
      </c>
      <c r="F41" t="s">
        <v>12</v>
      </c>
      <c r="G41" t="s">
        <v>14</v>
      </c>
    </row>
    <row r="42" spans="1:7" ht="12.75">
      <c r="A42">
        <v>9</v>
      </c>
      <c r="B42" t="s">
        <v>35</v>
      </c>
      <c r="C42" s="2" t="s">
        <v>1017</v>
      </c>
      <c r="D42" t="s">
        <v>6</v>
      </c>
      <c r="E42" t="s">
        <v>10</v>
      </c>
      <c r="F42" t="s">
        <v>12</v>
      </c>
      <c r="G42" t="s">
        <v>14</v>
      </c>
    </row>
    <row r="44" spans="1:9" ht="12.75">
      <c r="A44">
        <v>9</v>
      </c>
      <c r="C44" s="2" t="s">
        <v>1028</v>
      </c>
      <c r="D44" t="s">
        <v>50</v>
      </c>
      <c r="E44" t="s">
        <v>8</v>
      </c>
      <c r="F44" t="s">
        <v>12</v>
      </c>
      <c r="G44" s="2" t="s">
        <v>14</v>
      </c>
      <c r="H44" t="str">
        <f>Report!H81</f>
        <v>14AQ40</v>
      </c>
      <c r="I44" t="str">
        <f>Report!I81</f>
        <v>15SC20</v>
      </c>
    </row>
    <row r="45" spans="1:7" ht="12.75">
      <c r="A45">
        <v>9</v>
      </c>
      <c r="B45" s="2" t="s">
        <v>799</v>
      </c>
      <c r="C45" s="2" t="s">
        <v>1027</v>
      </c>
      <c r="D45" t="s">
        <v>50</v>
      </c>
      <c r="E45" t="s">
        <v>8</v>
      </c>
      <c r="F45" t="s">
        <v>12</v>
      </c>
      <c r="G45" s="2" t="s">
        <v>14</v>
      </c>
    </row>
    <row r="46" spans="1:7" ht="12.75">
      <c r="A46">
        <v>9</v>
      </c>
      <c r="B46" t="s">
        <v>305</v>
      </c>
      <c r="C46" t="s">
        <v>355</v>
      </c>
      <c r="D46" t="s">
        <v>50</v>
      </c>
      <c r="E46" t="s">
        <v>8</v>
      </c>
      <c r="F46" t="s">
        <v>12</v>
      </c>
      <c r="G46" t="s">
        <v>13</v>
      </c>
    </row>
    <row r="47" spans="1:7" ht="12.75">
      <c r="A47">
        <v>9</v>
      </c>
      <c r="B47" t="s">
        <v>269</v>
      </c>
      <c r="C47" t="s">
        <v>283</v>
      </c>
      <c r="D47" t="s">
        <v>50</v>
      </c>
      <c r="E47" t="s">
        <v>8</v>
      </c>
      <c r="F47" t="s">
        <v>12</v>
      </c>
      <c r="G47" t="s">
        <v>13</v>
      </c>
    </row>
    <row r="48" spans="1:7" ht="12.75">
      <c r="A48">
        <v>9</v>
      </c>
      <c r="B48" t="s">
        <v>15</v>
      </c>
      <c r="C48" t="s">
        <v>282</v>
      </c>
      <c r="D48" t="s">
        <v>50</v>
      </c>
      <c r="E48" t="s">
        <v>8</v>
      </c>
      <c r="F48" t="s">
        <v>12</v>
      </c>
      <c r="G48" t="s">
        <v>13</v>
      </c>
    </row>
    <row r="49" spans="1:7" ht="12.75">
      <c r="A49">
        <v>9</v>
      </c>
      <c r="B49" t="s">
        <v>35</v>
      </c>
      <c r="C49" s="2" t="s">
        <v>1018</v>
      </c>
      <c r="D49" t="s">
        <v>50</v>
      </c>
      <c r="E49" t="s">
        <v>8</v>
      </c>
      <c r="F49" t="s">
        <v>12</v>
      </c>
      <c r="G49" t="s">
        <v>14</v>
      </c>
    </row>
    <row r="50" ht="12.75">
      <c r="C50" s="2" t="s">
        <v>1026</v>
      </c>
    </row>
    <row r="52" spans="1:7" ht="12.75">
      <c r="A52">
        <v>9</v>
      </c>
      <c r="B52" t="s">
        <v>15</v>
      </c>
      <c r="C52" s="5" t="s">
        <v>475</v>
      </c>
      <c r="D52" t="s">
        <v>5</v>
      </c>
      <c r="E52" t="s">
        <v>10</v>
      </c>
      <c r="F52" t="s">
        <v>12</v>
      </c>
      <c r="G52" t="s">
        <v>14</v>
      </c>
    </row>
    <row r="54" spans="1:7" ht="12.75">
      <c r="A54">
        <v>9</v>
      </c>
      <c r="B54" t="s">
        <v>269</v>
      </c>
      <c r="C54" s="5" t="s">
        <v>476</v>
      </c>
      <c r="D54" t="s">
        <v>5</v>
      </c>
      <c r="E54" t="s">
        <v>6</v>
      </c>
      <c r="F54" t="s">
        <v>12</v>
      </c>
      <c r="G54" t="s">
        <v>14</v>
      </c>
    </row>
    <row r="56" ht="12.75">
      <c r="C56" s="2" t="s">
        <v>775</v>
      </c>
    </row>
    <row r="59" ht="12.75">
      <c r="C59" s="2" t="s">
        <v>776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1"/>
  <sheetViews>
    <sheetView zoomScalePageLayoutView="0" workbookViewId="0" topLeftCell="A33">
      <selection activeCell="C2" sqref="C2"/>
    </sheetView>
  </sheetViews>
  <sheetFormatPr defaultColWidth="9.140625" defaultRowHeight="12.75"/>
  <cols>
    <col min="1" max="1" width="3.57421875" style="0" customWidth="1"/>
    <col min="2" max="2" width="10.28125" style="0" bestFit="1" customWidth="1"/>
    <col min="3" max="3" width="61.421875" style="0" customWidth="1"/>
    <col min="4" max="4" width="7.7109375" style="0" bestFit="1" customWidth="1"/>
    <col min="5" max="5" width="8.421875" style="0" bestFit="1" customWidth="1"/>
    <col min="6" max="6" width="4.8515625" style="0" bestFit="1" customWidth="1"/>
    <col min="7" max="7" width="7.28125" style="0" bestFit="1" customWidth="1"/>
  </cols>
  <sheetData>
    <row r="2" ht="12.75">
      <c r="C2" s="6" t="s">
        <v>850</v>
      </c>
    </row>
    <row r="4" spans="1:9" ht="12.75">
      <c r="A4">
        <v>10</v>
      </c>
      <c r="C4" s="2" t="s">
        <v>1034</v>
      </c>
      <c r="D4" t="s">
        <v>65</v>
      </c>
      <c r="E4" t="s">
        <v>492</v>
      </c>
      <c r="F4" t="s">
        <v>12</v>
      </c>
      <c r="G4" t="s">
        <v>14</v>
      </c>
      <c r="H4" t="str">
        <f>Report!H83</f>
        <v>7AR34</v>
      </c>
      <c r="I4" t="str">
        <f>Report!I83</f>
        <v>22VI26</v>
      </c>
    </row>
    <row r="5" spans="1:7" ht="12.75">
      <c r="A5">
        <v>10</v>
      </c>
      <c r="B5" s="2" t="s">
        <v>799</v>
      </c>
      <c r="C5" s="2" t="s">
        <v>1057</v>
      </c>
      <c r="D5" t="s">
        <v>65</v>
      </c>
      <c r="E5" t="s">
        <v>492</v>
      </c>
      <c r="F5" t="s">
        <v>12</v>
      </c>
      <c r="G5" t="s">
        <v>14</v>
      </c>
    </row>
    <row r="6" spans="1:7" ht="12.75">
      <c r="A6">
        <v>10</v>
      </c>
      <c r="B6" t="s">
        <v>305</v>
      </c>
      <c r="C6" t="s">
        <v>357</v>
      </c>
      <c r="D6" t="s">
        <v>65</v>
      </c>
      <c r="E6" t="s">
        <v>492</v>
      </c>
      <c r="F6" t="s">
        <v>12</v>
      </c>
      <c r="G6" t="s">
        <v>14</v>
      </c>
    </row>
    <row r="7" spans="1:7" ht="12.75">
      <c r="A7">
        <v>10</v>
      </c>
      <c r="B7" t="s">
        <v>264</v>
      </c>
      <c r="C7" t="s">
        <v>260</v>
      </c>
      <c r="D7" t="s">
        <v>65</v>
      </c>
      <c r="E7" t="s">
        <v>492</v>
      </c>
      <c r="F7" t="s">
        <v>12</v>
      </c>
      <c r="G7" t="s">
        <v>14</v>
      </c>
    </row>
    <row r="8" spans="1:7" ht="12.75">
      <c r="A8">
        <v>10</v>
      </c>
      <c r="B8" t="s">
        <v>760</v>
      </c>
      <c r="C8" t="s">
        <v>64</v>
      </c>
      <c r="D8" t="s">
        <v>65</v>
      </c>
      <c r="E8" t="s">
        <v>492</v>
      </c>
      <c r="F8" t="s">
        <v>12</v>
      </c>
      <c r="G8" t="s">
        <v>14</v>
      </c>
    </row>
    <row r="9" spans="1:7" ht="12.75">
      <c r="A9">
        <v>10</v>
      </c>
      <c r="B9" t="s">
        <v>35</v>
      </c>
      <c r="C9" s="2" t="s">
        <v>1035</v>
      </c>
      <c r="D9" t="s">
        <v>65</v>
      </c>
      <c r="E9" t="s">
        <v>492</v>
      </c>
      <c r="F9" t="s">
        <v>12</v>
      </c>
      <c r="G9" t="s">
        <v>14</v>
      </c>
    </row>
    <row r="10" ht="12.75">
      <c r="C10" s="2" t="s">
        <v>901</v>
      </c>
    </row>
    <row r="12" spans="1:9" ht="12.75">
      <c r="A12">
        <v>10</v>
      </c>
      <c r="C12" s="2" t="s">
        <v>1059</v>
      </c>
      <c r="D12" t="s">
        <v>9</v>
      </c>
      <c r="E12" t="s">
        <v>8</v>
      </c>
      <c r="F12" t="s">
        <v>12</v>
      </c>
      <c r="G12" t="s">
        <v>14</v>
      </c>
      <c r="H12" t="str">
        <f>Report!H84</f>
        <v>0LI2</v>
      </c>
      <c r="I12" t="str">
        <f>Report!I84</f>
        <v>29PI58</v>
      </c>
    </row>
    <row r="13" spans="1:7" ht="12.75">
      <c r="A13">
        <v>10</v>
      </c>
      <c r="B13" s="2" t="s">
        <v>799</v>
      </c>
      <c r="C13" s="2" t="s">
        <v>1058</v>
      </c>
      <c r="D13" t="s">
        <v>9</v>
      </c>
      <c r="E13" t="s">
        <v>8</v>
      </c>
      <c r="F13" t="s">
        <v>12</v>
      </c>
      <c r="G13" t="s">
        <v>14</v>
      </c>
    </row>
    <row r="14" spans="1:7" ht="12.75">
      <c r="A14">
        <v>10</v>
      </c>
      <c r="B14" t="s">
        <v>305</v>
      </c>
      <c r="C14" t="s">
        <v>360</v>
      </c>
      <c r="D14" t="s">
        <v>9</v>
      </c>
      <c r="E14" t="s">
        <v>8</v>
      </c>
      <c r="F14" t="s">
        <v>12</v>
      </c>
      <c r="G14" t="s">
        <v>14</v>
      </c>
    </row>
    <row r="15" spans="1:7" ht="12.75">
      <c r="A15">
        <v>10</v>
      </c>
      <c r="B15" t="s">
        <v>760</v>
      </c>
      <c r="C15" t="s">
        <v>66</v>
      </c>
      <c r="D15" t="s">
        <v>9</v>
      </c>
      <c r="E15" t="s">
        <v>8</v>
      </c>
      <c r="F15" t="s">
        <v>12</v>
      </c>
      <c r="G15" t="s">
        <v>14</v>
      </c>
    </row>
    <row r="16" spans="1:7" ht="12.75">
      <c r="A16">
        <v>10</v>
      </c>
      <c r="B16" t="s">
        <v>15</v>
      </c>
      <c r="C16" t="s">
        <v>251</v>
      </c>
      <c r="D16" t="s">
        <v>9</v>
      </c>
      <c r="E16" t="s">
        <v>8</v>
      </c>
      <c r="F16" t="s">
        <v>12</v>
      </c>
      <c r="G16" t="s">
        <v>14</v>
      </c>
    </row>
    <row r="17" spans="1:7" ht="12.75">
      <c r="A17">
        <v>10</v>
      </c>
      <c r="B17" t="s">
        <v>35</v>
      </c>
      <c r="C17" s="2" t="s">
        <v>1036</v>
      </c>
      <c r="D17" t="s">
        <v>9</v>
      </c>
      <c r="E17" t="s">
        <v>8</v>
      </c>
      <c r="F17" t="s">
        <v>12</v>
      </c>
      <c r="G17" t="s">
        <v>14</v>
      </c>
    </row>
    <row r="19" spans="1:9" ht="12.75">
      <c r="A19">
        <v>10</v>
      </c>
      <c r="C19" s="2" t="s">
        <v>1061</v>
      </c>
      <c r="D19" t="s">
        <v>6</v>
      </c>
      <c r="E19" t="s">
        <v>5</v>
      </c>
      <c r="F19" t="s">
        <v>12</v>
      </c>
      <c r="G19" t="s">
        <v>14</v>
      </c>
      <c r="H19" t="str">
        <f>Report!H85</f>
        <v>19PI56</v>
      </c>
      <c r="I19" t="str">
        <f>Report!I85</f>
        <v>10LI4</v>
      </c>
    </row>
    <row r="20" spans="1:7" ht="12.75">
      <c r="A20">
        <v>10</v>
      </c>
      <c r="B20" s="2" t="s">
        <v>799</v>
      </c>
      <c r="C20" s="2" t="s">
        <v>1063</v>
      </c>
      <c r="D20" t="s">
        <v>6</v>
      </c>
      <c r="E20" t="s">
        <v>5</v>
      </c>
      <c r="F20" t="s">
        <v>12</v>
      </c>
      <c r="G20" t="s">
        <v>14</v>
      </c>
    </row>
    <row r="21" spans="1:7" ht="12.75">
      <c r="A21">
        <v>10</v>
      </c>
      <c r="B21" t="s">
        <v>760</v>
      </c>
      <c r="C21" t="s">
        <v>68</v>
      </c>
      <c r="D21" t="s">
        <v>6</v>
      </c>
      <c r="E21" t="s">
        <v>5</v>
      </c>
      <c r="F21" t="s">
        <v>12</v>
      </c>
      <c r="G21" t="s">
        <v>14</v>
      </c>
    </row>
    <row r="22" spans="1:7" ht="12.75">
      <c r="A22">
        <v>10</v>
      </c>
      <c r="B22" t="s">
        <v>15</v>
      </c>
      <c r="C22" t="s">
        <v>252</v>
      </c>
      <c r="D22" t="s">
        <v>6</v>
      </c>
      <c r="E22" t="s">
        <v>5</v>
      </c>
      <c r="F22" t="s">
        <v>12</v>
      </c>
      <c r="G22" t="s">
        <v>14</v>
      </c>
    </row>
    <row r="23" spans="1:7" ht="12.75">
      <c r="A23">
        <v>10</v>
      </c>
      <c r="B23" t="s">
        <v>35</v>
      </c>
      <c r="C23" s="2" t="s">
        <v>1038</v>
      </c>
      <c r="D23" t="s">
        <v>6</v>
      </c>
      <c r="E23" t="s">
        <v>5</v>
      </c>
      <c r="F23" t="s">
        <v>12</v>
      </c>
      <c r="G23" t="s">
        <v>14</v>
      </c>
    </row>
    <row r="24" ht="12.75">
      <c r="C24" s="2" t="s">
        <v>1062</v>
      </c>
    </row>
    <row r="26" spans="1:9" ht="12.75">
      <c r="A26">
        <v>10</v>
      </c>
      <c r="C26" s="2" t="s">
        <v>1066</v>
      </c>
      <c r="D26" t="s">
        <v>5</v>
      </c>
      <c r="E26" t="s">
        <v>8</v>
      </c>
      <c r="F26" t="s">
        <v>12</v>
      </c>
      <c r="G26" t="s">
        <v>13</v>
      </c>
      <c r="H26" t="str">
        <f>Report!H86</f>
        <v>21AQ48</v>
      </c>
      <c r="I26" t="str">
        <f>Report!I86</f>
        <v>8SC12</v>
      </c>
    </row>
    <row r="27" spans="1:7" ht="12.75">
      <c r="A27">
        <v>10</v>
      </c>
      <c r="B27" s="2" t="s">
        <v>799</v>
      </c>
      <c r="C27" s="2" t="s">
        <v>1065</v>
      </c>
      <c r="D27" t="s">
        <v>5</v>
      </c>
      <c r="E27" t="s">
        <v>8</v>
      </c>
      <c r="F27" t="s">
        <v>12</v>
      </c>
      <c r="G27" t="s">
        <v>13</v>
      </c>
    </row>
    <row r="28" spans="1:7" ht="12.75">
      <c r="A28">
        <v>10</v>
      </c>
      <c r="B28" t="s">
        <v>305</v>
      </c>
      <c r="C28" t="s">
        <v>361</v>
      </c>
      <c r="D28" t="s">
        <v>5</v>
      </c>
      <c r="E28" t="s">
        <v>8</v>
      </c>
      <c r="F28" t="s">
        <v>12</v>
      </c>
      <c r="G28" t="s">
        <v>14</v>
      </c>
    </row>
    <row r="29" spans="1:7" ht="12.75">
      <c r="A29">
        <v>10</v>
      </c>
      <c r="B29" t="s">
        <v>760</v>
      </c>
      <c r="C29" t="s">
        <v>71</v>
      </c>
      <c r="D29" t="s">
        <v>5</v>
      </c>
      <c r="E29" t="s">
        <v>8</v>
      </c>
      <c r="F29" t="s">
        <v>12</v>
      </c>
      <c r="G29" t="s">
        <v>13</v>
      </c>
    </row>
    <row r="30" spans="1:7" ht="12.75">
      <c r="A30">
        <v>10</v>
      </c>
      <c r="B30" t="s">
        <v>15</v>
      </c>
      <c r="C30" t="s">
        <v>256</v>
      </c>
      <c r="D30" t="s">
        <v>5</v>
      </c>
      <c r="E30" t="s">
        <v>8</v>
      </c>
      <c r="F30" t="s">
        <v>12</v>
      </c>
      <c r="G30" t="s">
        <v>13</v>
      </c>
    </row>
    <row r="31" spans="1:7" ht="12.75">
      <c r="A31">
        <v>10</v>
      </c>
      <c r="B31" t="s">
        <v>61</v>
      </c>
      <c r="C31" s="2" t="s">
        <v>1044</v>
      </c>
      <c r="D31" t="s">
        <v>5</v>
      </c>
      <c r="E31" t="s">
        <v>8</v>
      </c>
      <c r="F31" t="s">
        <v>12</v>
      </c>
      <c r="G31" t="s">
        <v>13</v>
      </c>
    </row>
    <row r="32" spans="1:7" ht="12.75">
      <c r="A32">
        <v>10</v>
      </c>
      <c r="B32" t="s">
        <v>35</v>
      </c>
      <c r="C32" s="2" t="s">
        <v>1045</v>
      </c>
      <c r="D32" t="s">
        <v>5</v>
      </c>
      <c r="E32" t="s">
        <v>8</v>
      </c>
      <c r="F32" t="s">
        <v>12</v>
      </c>
      <c r="G32" t="s">
        <v>14</v>
      </c>
    </row>
    <row r="34" spans="1:9" ht="12.75">
      <c r="A34">
        <v>10</v>
      </c>
      <c r="C34" s="2" t="s">
        <v>1051</v>
      </c>
      <c r="D34" t="s">
        <v>7</v>
      </c>
      <c r="E34" t="s">
        <v>8</v>
      </c>
      <c r="F34" t="s">
        <v>12</v>
      </c>
      <c r="G34" t="s">
        <v>14</v>
      </c>
      <c r="H34" t="str">
        <f>Report!H87</f>
        <v>11PI52</v>
      </c>
      <c r="I34" t="str">
        <f>Report!I87</f>
        <v>18LI8</v>
      </c>
    </row>
    <row r="35" spans="1:7" ht="12.75">
      <c r="A35">
        <v>10</v>
      </c>
      <c r="B35" s="2" t="s">
        <v>799</v>
      </c>
      <c r="C35" s="2" t="s">
        <v>1068</v>
      </c>
      <c r="D35" t="s">
        <v>7</v>
      </c>
      <c r="E35" t="s">
        <v>8</v>
      </c>
      <c r="F35" t="s">
        <v>12</v>
      </c>
      <c r="G35" t="s">
        <v>14</v>
      </c>
    </row>
    <row r="36" spans="1:7" ht="12.75">
      <c r="A36">
        <v>10</v>
      </c>
      <c r="B36" t="s">
        <v>305</v>
      </c>
      <c r="C36" t="s">
        <v>364</v>
      </c>
      <c r="D36" t="s">
        <v>7</v>
      </c>
      <c r="E36" t="s">
        <v>8</v>
      </c>
      <c r="F36" t="s">
        <v>12</v>
      </c>
      <c r="G36" t="s">
        <v>14</v>
      </c>
    </row>
    <row r="37" spans="1:7" ht="12.75">
      <c r="A37">
        <v>10</v>
      </c>
      <c r="B37" t="s">
        <v>760</v>
      </c>
      <c r="C37" t="s">
        <v>250</v>
      </c>
      <c r="D37" t="s">
        <v>7</v>
      </c>
      <c r="E37" t="s">
        <v>8</v>
      </c>
      <c r="F37" t="s">
        <v>12</v>
      </c>
      <c r="G37" t="s">
        <v>14</v>
      </c>
    </row>
    <row r="38" spans="1:7" ht="12.75">
      <c r="A38">
        <v>10</v>
      </c>
      <c r="B38" t="s">
        <v>15</v>
      </c>
      <c r="C38" t="s">
        <v>261</v>
      </c>
      <c r="D38" t="s">
        <v>7</v>
      </c>
      <c r="E38" t="s">
        <v>8</v>
      </c>
      <c r="F38" t="s">
        <v>12</v>
      </c>
      <c r="G38" t="s">
        <v>14</v>
      </c>
    </row>
    <row r="39" spans="1:7" ht="12.75">
      <c r="A39">
        <v>10</v>
      </c>
      <c r="B39" t="s">
        <v>61</v>
      </c>
      <c r="C39" s="2" t="s">
        <v>261</v>
      </c>
      <c r="D39" t="s">
        <v>7</v>
      </c>
      <c r="E39" t="s">
        <v>8</v>
      </c>
      <c r="F39" t="s">
        <v>12</v>
      </c>
      <c r="G39" t="s">
        <v>14</v>
      </c>
    </row>
    <row r="40" spans="1:7" ht="12.75">
      <c r="A40">
        <v>10</v>
      </c>
      <c r="B40" t="s">
        <v>35</v>
      </c>
      <c r="C40" s="2" t="s">
        <v>1052</v>
      </c>
      <c r="D40" t="s">
        <v>7</v>
      </c>
      <c r="E40" t="s">
        <v>8</v>
      </c>
      <c r="F40" t="s">
        <v>12</v>
      </c>
      <c r="G40" t="s">
        <v>14</v>
      </c>
    </row>
    <row r="42" spans="1:9" ht="12.75">
      <c r="A42">
        <v>10</v>
      </c>
      <c r="C42" s="2" t="s">
        <v>1053</v>
      </c>
      <c r="D42" t="s">
        <v>7</v>
      </c>
      <c r="E42" t="s">
        <v>5</v>
      </c>
      <c r="F42" t="s">
        <v>12</v>
      </c>
      <c r="G42" t="s">
        <v>14</v>
      </c>
      <c r="H42" t="str">
        <f>Report!H88</f>
        <v>3TA55</v>
      </c>
      <c r="I42" t="str">
        <f>Report!I88</f>
        <v>26LE5</v>
      </c>
    </row>
    <row r="43" spans="1:7" ht="12.75">
      <c r="A43">
        <v>10</v>
      </c>
      <c r="B43" t="s">
        <v>35</v>
      </c>
      <c r="C43" s="2" t="s">
        <v>1054</v>
      </c>
      <c r="D43" t="s">
        <v>7</v>
      </c>
      <c r="E43" t="s">
        <v>5</v>
      </c>
      <c r="F43" t="s">
        <v>12</v>
      </c>
      <c r="G43" t="s">
        <v>14</v>
      </c>
    </row>
    <row r="45" spans="1:9" ht="12.75">
      <c r="A45">
        <v>10</v>
      </c>
      <c r="C45" s="2" t="s">
        <v>1069</v>
      </c>
      <c r="D45" s="2" t="s">
        <v>6</v>
      </c>
      <c r="E45" s="2" t="s">
        <v>262</v>
      </c>
      <c r="F45" s="2" t="s">
        <v>12</v>
      </c>
      <c r="G45" s="2" t="s">
        <v>13</v>
      </c>
      <c r="H45" t="str">
        <f>Report!H89</f>
        <v>2TA14</v>
      </c>
      <c r="I45" t="str">
        <f>Report!I89</f>
        <v>27LE46</v>
      </c>
    </row>
    <row r="46" spans="1:7" ht="12.75">
      <c r="A46">
        <v>10</v>
      </c>
      <c r="B46" s="2" t="s">
        <v>799</v>
      </c>
      <c r="C46" s="2" t="s">
        <v>1071</v>
      </c>
      <c r="D46" s="2" t="s">
        <v>6</v>
      </c>
      <c r="E46" s="2" t="s">
        <v>262</v>
      </c>
      <c r="F46" s="2" t="s">
        <v>12</v>
      </c>
      <c r="G46" s="2" t="s">
        <v>13</v>
      </c>
    </row>
    <row r="47" spans="1:7" s="2" customFormat="1" ht="12.75">
      <c r="A47" s="2">
        <v>10</v>
      </c>
      <c r="B47" s="2" t="s">
        <v>61</v>
      </c>
      <c r="C47" s="2" t="s">
        <v>1070</v>
      </c>
      <c r="D47" s="2" t="s">
        <v>6</v>
      </c>
      <c r="E47" s="2" t="s">
        <v>262</v>
      </c>
      <c r="F47" s="2" t="s">
        <v>12</v>
      </c>
      <c r="G47" s="2" t="s">
        <v>13</v>
      </c>
    </row>
    <row r="48" spans="1:7" s="2" customFormat="1" ht="12.75">
      <c r="A48" s="2">
        <v>10</v>
      </c>
      <c r="B48" s="2" t="s">
        <v>698</v>
      </c>
      <c r="C48" s="2" t="s">
        <v>691</v>
      </c>
      <c r="D48" s="2" t="s">
        <v>6</v>
      </c>
      <c r="E48" s="2" t="s">
        <v>262</v>
      </c>
      <c r="F48" s="2" t="s">
        <v>12</v>
      </c>
      <c r="G48" s="2" t="s">
        <v>650</v>
      </c>
    </row>
    <row r="49" s="2" customFormat="1" ht="12.75">
      <c r="C49" s="2" t="s">
        <v>1079</v>
      </c>
    </row>
    <row r="50" ht="12.75">
      <c r="C50" s="2"/>
    </row>
    <row r="51" spans="1:9" ht="12.75">
      <c r="A51">
        <v>10</v>
      </c>
      <c r="C51" s="2" t="s">
        <v>1072</v>
      </c>
      <c r="D51" s="2" t="s">
        <v>6</v>
      </c>
      <c r="E51" s="2" t="s">
        <v>262</v>
      </c>
      <c r="F51" s="2" t="s">
        <v>10</v>
      </c>
      <c r="G51" s="2" t="s">
        <v>13</v>
      </c>
      <c r="H51" s="2" t="str">
        <f>Report!H90</f>
        <v>19SC34</v>
      </c>
      <c r="I51" s="2" t="str">
        <f>Report!I90</f>
        <v>10AQ26</v>
      </c>
    </row>
    <row r="52" spans="1:7" ht="12.75">
      <c r="A52">
        <v>10</v>
      </c>
      <c r="B52" s="2" t="s">
        <v>799</v>
      </c>
      <c r="C52" s="2" t="s">
        <v>1073</v>
      </c>
      <c r="D52" s="2" t="s">
        <v>6</v>
      </c>
      <c r="E52" s="2" t="s">
        <v>262</v>
      </c>
      <c r="F52" s="2" t="s">
        <v>10</v>
      </c>
      <c r="G52" s="2" t="s">
        <v>13</v>
      </c>
    </row>
    <row r="53" spans="1:7" s="2" customFormat="1" ht="12.75">
      <c r="A53" s="2">
        <v>10</v>
      </c>
      <c r="B53" s="2" t="s">
        <v>35</v>
      </c>
      <c r="C53" s="2" t="s">
        <v>1055</v>
      </c>
      <c r="D53" s="2" t="s">
        <v>6</v>
      </c>
      <c r="E53" s="2" t="s">
        <v>262</v>
      </c>
      <c r="F53" s="2" t="s">
        <v>10</v>
      </c>
      <c r="G53" s="2" t="s">
        <v>13</v>
      </c>
    </row>
    <row r="54" spans="1:7" s="2" customFormat="1" ht="12.75">
      <c r="A54" s="2">
        <v>10</v>
      </c>
      <c r="B54" s="2" t="s">
        <v>698</v>
      </c>
      <c r="C54" s="2" t="s">
        <v>692</v>
      </c>
      <c r="D54" s="2" t="s">
        <v>6</v>
      </c>
      <c r="E54" s="2" t="s">
        <v>262</v>
      </c>
      <c r="F54" s="2" t="s">
        <v>10</v>
      </c>
      <c r="G54" s="2" t="s">
        <v>650</v>
      </c>
    </row>
    <row r="55" ht="12.75">
      <c r="C55" s="2"/>
    </row>
    <row r="56" spans="1:9" ht="12.75">
      <c r="A56">
        <v>10</v>
      </c>
      <c r="C56" s="2" t="s">
        <v>829</v>
      </c>
      <c r="D56" t="s">
        <v>50</v>
      </c>
      <c r="E56" t="s">
        <v>9</v>
      </c>
      <c r="F56" t="s">
        <v>12</v>
      </c>
      <c r="G56" t="s">
        <v>14</v>
      </c>
      <c r="H56" t="str">
        <f>Report!H91</f>
        <v>14TA23</v>
      </c>
      <c r="I56" t="str">
        <f>Report!I91</f>
        <v>15LE37</v>
      </c>
    </row>
    <row r="57" spans="1:7" ht="12.75">
      <c r="A57">
        <v>10</v>
      </c>
      <c r="B57" t="s">
        <v>760</v>
      </c>
      <c r="C57" t="s">
        <v>67</v>
      </c>
      <c r="D57" t="s">
        <v>50</v>
      </c>
      <c r="E57" t="s">
        <v>9</v>
      </c>
      <c r="F57" t="s">
        <v>12</v>
      </c>
      <c r="G57" t="s">
        <v>14</v>
      </c>
    </row>
    <row r="58" spans="1:7" ht="12.75">
      <c r="A58">
        <v>10</v>
      </c>
      <c r="B58" t="s">
        <v>15</v>
      </c>
      <c r="C58" t="s">
        <v>253</v>
      </c>
      <c r="D58" t="s">
        <v>50</v>
      </c>
      <c r="E58" t="s">
        <v>9</v>
      </c>
      <c r="F58" t="s">
        <v>12</v>
      </c>
      <c r="G58" t="s">
        <v>14</v>
      </c>
    </row>
    <row r="59" spans="1:7" ht="12.75">
      <c r="A59">
        <v>10</v>
      </c>
      <c r="B59" t="s">
        <v>35</v>
      </c>
      <c r="C59" s="2" t="s">
        <v>1037</v>
      </c>
      <c r="D59" t="s">
        <v>50</v>
      </c>
      <c r="E59" t="s">
        <v>9</v>
      </c>
      <c r="F59" t="s">
        <v>12</v>
      </c>
      <c r="G59" t="s">
        <v>14</v>
      </c>
    </row>
    <row r="61" spans="1:9" ht="12.75">
      <c r="A61">
        <v>10</v>
      </c>
      <c r="C61" s="2" t="s">
        <v>1039</v>
      </c>
      <c r="D61" t="s">
        <v>5</v>
      </c>
      <c r="E61" s="2" t="s">
        <v>796</v>
      </c>
      <c r="F61" t="s">
        <v>12</v>
      </c>
      <c r="G61" t="s">
        <v>14</v>
      </c>
      <c r="H61" t="str">
        <f>Report!H92</f>
        <v>5SC0</v>
      </c>
      <c r="I61" t="str">
        <f>Report!I92</f>
        <v>24AQ60</v>
      </c>
    </row>
    <row r="62" spans="1:7" ht="12.75">
      <c r="A62">
        <v>10</v>
      </c>
      <c r="B62" t="s">
        <v>760</v>
      </c>
      <c r="C62" t="s">
        <v>69</v>
      </c>
      <c r="D62" t="s">
        <v>5</v>
      </c>
      <c r="E62" s="2" t="s">
        <v>796</v>
      </c>
      <c r="F62" t="s">
        <v>12</v>
      </c>
      <c r="G62" t="s">
        <v>14</v>
      </c>
    </row>
    <row r="63" spans="1:7" ht="12.75">
      <c r="A63">
        <v>10</v>
      </c>
      <c r="B63" t="s">
        <v>15</v>
      </c>
      <c r="C63" t="s">
        <v>255</v>
      </c>
      <c r="D63" t="s">
        <v>5</v>
      </c>
      <c r="E63" s="2" t="s">
        <v>796</v>
      </c>
      <c r="F63" t="s">
        <v>12</v>
      </c>
      <c r="G63" t="s">
        <v>14</v>
      </c>
    </row>
    <row r="64" spans="1:7" ht="12.75">
      <c r="A64">
        <v>10</v>
      </c>
      <c r="B64" t="s">
        <v>35</v>
      </c>
      <c r="C64" s="2" t="s">
        <v>1040</v>
      </c>
      <c r="D64" t="s">
        <v>5</v>
      </c>
      <c r="E64" s="2" t="s">
        <v>796</v>
      </c>
      <c r="F64" t="s">
        <v>12</v>
      </c>
      <c r="G64" t="s">
        <v>14</v>
      </c>
    </row>
    <row r="66" spans="1:9" ht="12.75">
      <c r="A66">
        <v>10</v>
      </c>
      <c r="C66" s="2" t="s">
        <v>1041</v>
      </c>
      <c r="D66" t="s">
        <v>50</v>
      </c>
      <c r="E66" t="s">
        <v>6</v>
      </c>
      <c r="F66" t="s">
        <v>12</v>
      </c>
      <c r="G66" t="s">
        <v>13</v>
      </c>
      <c r="H66" t="str">
        <f>Report!H93</f>
        <v>12SA58</v>
      </c>
      <c r="I66" t="str">
        <f>Report!I93</f>
        <v>17CP2</v>
      </c>
    </row>
    <row r="67" spans="1:7" ht="12.75">
      <c r="A67">
        <v>10</v>
      </c>
      <c r="B67" t="s">
        <v>15</v>
      </c>
      <c r="C67" t="s">
        <v>254</v>
      </c>
      <c r="D67" t="s">
        <v>50</v>
      </c>
      <c r="E67" t="s">
        <v>6</v>
      </c>
      <c r="F67" t="s">
        <v>12</v>
      </c>
      <c r="G67" t="s">
        <v>13</v>
      </c>
    </row>
    <row r="68" spans="1:7" ht="12.75">
      <c r="A68">
        <v>10</v>
      </c>
      <c r="B68" t="s">
        <v>35</v>
      </c>
      <c r="C68" s="2" t="s">
        <v>1042</v>
      </c>
      <c r="D68" t="s">
        <v>50</v>
      </c>
      <c r="E68" t="s">
        <v>6</v>
      </c>
      <c r="F68" t="s">
        <v>12</v>
      </c>
      <c r="G68" t="s">
        <v>13</v>
      </c>
    </row>
    <row r="70" spans="1:9" ht="12.75">
      <c r="A70">
        <v>10</v>
      </c>
      <c r="C70" s="2" t="s">
        <v>1043</v>
      </c>
      <c r="D70" t="s">
        <v>9</v>
      </c>
      <c r="E70" t="s">
        <v>5</v>
      </c>
      <c r="F70" t="s">
        <v>12</v>
      </c>
      <c r="G70" t="s">
        <v>14</v>
      </c>
      <c r="H70" t="str">
        <f>Report!H94</f>
        <v>22SC5</v>
      </c>
      <c r="I70" t="str">
        <f>Report!I94</f>
        <v>7AQ55</v>
      </c>
    </row>
    <row r="71" spans="1:7" ht="12.75">
      <c r="A71">
        <v>10</v>
      </c>
      <c r="B71" t="s">
        <v>760</v>
      </c>
      <c r="C71" t="s">
        <v>70</v>
      </c>
      <c r="D71" t="s">
        <v>9</v>
      </c>
      <c r="E71" t="s">
        <v>5</v>
      </c>
      <c r="F71" t="s">
        <v>12</v>
      </c>
      <c r="G71" t="s">
        <v>14</v>
      </c>
    </row>
    <row r="72" spans="1:7" ht="12.75">
      <c r="A72">
        <v>10</v>
      </c>
      <c r="B72" t="s">
        <v>35</v>
      </c>
      <c r="C72" s="2" t="s">
        <v>147</v>
      </c>
      <c r="D72" t="s">
        <v>9</v>
      </c>
      <c r="E72" t="s">
        <v>5</v>
      </c>
      <c r="F72" t="s">
        <v>12</v>
      </c>
      <c r="G72" t="s">
        <v>14</v>
      </c>
    </row>
    <row r="74" spans="1:9" ht="12.75">
      <c r="A74">
        <v>10</v>
      </c>
      <c r="C74" s="2" t="s">
        <v>1046</v>
      </c>
      <c r="D74" t="s">
        <v>50</v>
      </c>
      <c r="E74" t="s">
        <v>7</v>
      </c>
      <c r="F74" t="s">
        <v>12</v>
      </c>
      <c r="G74" t="s">
        <v>14</v>
      </c>
      <c r="H74" t="str">
        <f>Report!H95</f>
        <v>2SA33</v>
      </c>
      <c r="I74" t="str">
        <f>Report!I95</f>
        <v>27CP27</v>
      </c>
    </row>
    <row r="75" spans="1:7" ht="12.75">
      <c r="A75">
        <v>10</v>
      </c>
      <c r="B75" t="s">
        <v>760</v>
      </c>
      <c r="C75" t="s">
        <v>72</v>
      </c>
      <c r="D75" t="s">
        <v>50</v>
      </c>
      <c r="E75" t="s">
        <v>7</v>
      </c>
      <c r="F75" t="s">
        <v>12</v>
      </c>
      <c r="G75" t="s">
        <v>14</v>
      </c>
    </row>
    <row r="76" spans="1:7" ht="12.75">
      <c r="A76">
        <v>10</v>
      </c>
      <c r="B76" t="s">
        <v>15</v>
      </c>
      <c r="C76" t="s">
        <v>257</v>
      </c>
      <c r="D76" t="s">
        <v>50</v>
      </c>
      <c r="E76" t="s">
        <v>7</v>
      </c>
      <c r="F76" t="s">
        <v>12</v>
      </c>
      <c r="G76" t="s">
        <v>14</v>
      </c>
    </row>
    <row r="77" spans="1:7" ht="12.75">
      <c r="A77">
        <v>10</v>
      </c>
      <c r="B77" t="s">
        <v>35</v>
      </c>
      <c r="C77" s="2" t="s">
        <v>1047</v>
      </c>
      <c r="D77" t="s">
        <v>50</v>
      </c>
      <c r="E77" t="s">
        <v>7</v>
      </c>
      <c r="F77" t="s">
        <v>12</v>
      </c>
      <c r="G77" t="s">
        <v>14</v>
      </c>
    </row>
    <row r="79" spans="1:9" ht="12.75">
      <c r="A79">
        <v>10</v>
      </c>
      <c r="C79" t="s">
        <v>405</v>
      </c>
      <c r="D79" t="s">
        <v>52</v>
      </c>
      <c r="E79" s="2" t="s">
        <v>796</v>
      </c>
      <c r="F79" t="s">
        <v>12</v>
      </c>
      <c r="G79" t="s">
        <v>14</v>
      </c>
      <c r="H79" t="str">
        <f>Report!H96</f>
        <v>3SC29</v>
      </c>
      <c r="I79" t="str">
        <f>Report!I96</f>
        <v>26AQ31</v>
      </c>
    </row>
    <row r="80" spans="1:7" ht="12.75">
      <c r="A80">
        <v>10</v>
      </c>
      <c r="B80" t="s">
        <v>760</v>
      </c>
      <c r="C80" t="s">
        <v>73</v>
      </c>
      <c r="D80" t="s">
        <v>52</v>
      </c>
      <c r="E80" s="2" t="s">
        <v>796</v>
      </c>
      <c r="F80" t="s">
        <v>12</v>
      </c>
      <c r="G80" t="s">
        <v>14</v>
      </c>
    </row>
    <row r="81" spans="1:7" ht="12.75">
      <c r="A81">
        <v>10</v>
      </c>
      <c r="B81" t="s">
        <v>15</v>
      </c>
      <c r="C81" t="s">
        <v>259</v>
      </c>
      <c r="D81" t="s">
        <v>52</v>
      </c>
      <c r="E81" s="2" t="s">
        <v>796</v>
      </c>
      <c r="F81" t="s">
        <v>12</v>
      </c>
      <c r="G81" t="s">
        <v>14</v>
      </c>
    </row>
    <row r="82" spans="1:7" ht="12.75">
      <c r="A82">
        <v>10</v>
      </c>
      <c r="B82" t="s">
        <v>35</v>
      </c>
      <c r="C82" s="2" t="s">
        <v>1048</v>
      </c>
      <c r="D82" t="s">
        <v>52</v>
      </c>
      <c r="E82" s="2" t="s">
        <v>796</v>
      </c>
      <c r="F82" t="s">
        <v>12</v>
      </c>
      <c r="G82" t="s">
        <v>14</v>
      </c>
    </row>
    <row r="84" spans="1:9" ht="12.75">
      <c r="A84">
        <v>10</v>
      </c>
      <c r="C84" s="2" t="s">
        <v>1049</v>
      </c>
      <c r="D84" t="s">
        <v>6</v>
      </c>
      <c r="E84" t="s">
        <v>10</v>
      </c>
      <c r="F84" t="s">
        <v>12</v>
      </c>
      <c r="G84" t="s">
        <v>14</v>
      </c>
      <c r="H84" t="str">
        <f>Report!H97</f>
        <v>1SA1</v>
      </c>
      <c r="I84" t="str">
        <f>Report!I97</f>
        <v>28CP59</v>
      </c>
    </row>
    <row r="85" spans="1:7" ht="12.75">
      <c r="A85">
        <v>10</v>
      </c>
      <c r="B85" t="s">
        <v>760</v>
      </c>
      <c r="C85" t="s">
        <v>74</v>
      </c>
      <c r="D85" t="s">
        <v>6</v>
      </c>
      <c r="E85" t="s">
        <v>10</v>
      </c>
      <c r="F85" t="s">
        <v>12</v>
      </c>
      <c r="G85" t="s">
        <v>14</v>
      </c>
    </row>
    <row r="86" spans="1:7" ht="12.75">
      <c r="A86">
        <v>10</v>
      </c>
      <c r="B86" t="s">
        <v>15</v>
      </c>
      <c r="C86" t="s">
        <v>258</v>
      </c>
      <c r="D86" t="s">
        <v>6</v>
      </c>
      <c r="E86" t="s">
        <v>10</v>
      </c>
      <c r="F86" t="s">
        <v>12</v>
      </c>
      <c r="G86" t="s">
        <v>14</v>
      </c>
    </row>
    <row r="87" spans="1:7" ht="12.75">
      <c r="A87">
        <v>10</v>
      </c>
      <c r="B87" t="s">
        <v>35</v>
      </c>
      <c r="C87" s="2" t="s">
        <v>1050</v>
      </c>
      <c r="D87" t="s">
        <v>6</v>
      </c>
      <c r="E87" t="s">
        <v>10</v>
      </c>
      <c r="F87" t="s">
        <v>12</v>
      </c>
      <c r="G87" t="s">
        <v>14</v>
      </c>
    </row>
    <row r="89" ht="12.75">
      <c r="C89" s="6" t="s">
        <v>1076</v>
      </c>
    </row>
    <row r="91" spans="1:7" ht="12.75">
      <c r="A91">
        <v>10</v>
      </c>
      <c r="B91" t="s">
        <v>760</v>
      </c>
      <c r="C91" s="2" t="s">
        <v>1056</v>
      </c>
      <c r="D91" t="s">
        <v>5</v>
      </c>
      <c r="E91" t="s">
        <v>6</v>
      </c>
      <c r="F91" t="s">
        <v>12</v>
      </c>
      <c r="G91" t="s">
        <v>13</v>
      </c>
    </row>
  </sheetData>
  <sheetProtection/>
  <printOptions/>
  <pageMargins left="0.75" right="0.75" top="1" bottom="1" header="0.5" footer="0.5"/>
  <pageSetup fitToHeight="2" fitToWidth="1" horizontalDpi="600" verticalDpi="600" orientation="portrait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.28125" style="0" bestFit="1" customWidth="1"/>
    <col min="3" max="3" width="51.28125" style="0" customWidth="1"/>
  </cols>
  <sheetData>
    <row r="2" ht="12.75">
      <c r="C2" s="6" t="s">
        <v>851</v>
      </c>
    </row>
    <row r="4" spans="1:9" ht="12.75">
      <c r="A4">
        <v>11</v>
      </c>
      <c r="C4" s="2" t="s">
        <v>1074</v>
      </c>
      <c r="D4" t="s">
        <v>5</v>
      </c>
      <c r="E4" t="s">
        <v>7</v>
      </c>
      <c r="F4" t="s">
        <v>12</v>
      </c>
      <c r="G4" t="s">
        <v>14</v>
      </c>
      <c r="H4" t="str">
        <f>Report!H99</f>
        <v>25LE35</v>
      </c>
      <c r="I4" t="str">
        <f>Report!I99</f>
        <v>4TA25</v>
      </c>
    </row>
    <row r="5" spans="1:7" ht="12.75">
      <c r="A5">
        <v>10</v>
      </c>
      <c r="B5" s="2" t="s">
        <v>799</v>
      </c>
      <c r="C5" s="2" t="s">
        <v>1075</v>
      </c>
      <c r="D5" s="2" t="s">
        <v>5</v>
      </c>
      <c r="E5" s="2" t="s">
        <v>7</v>
      </c>
      <c r="F5" s="2" t="s">
        <v>12</v>
      </c>
      <c r="G5" s="2" t="s">
        <v>13</v>
      </c>
    </row>
    <row r="6" spans="1:7" ht="12.75">
      <c r="A6">
        <v>11</v>
      </c>
      <c r="B6" t="s">
        <v>305</v>
      </c>
      <c r="C6" t="s">
        <v>363</v>
      </c>
      <c r="D6" t="s">
        <v>5</v>
      </c>
      <c r="E6" t="s">
        <v>7</v>
      </c>
      <c r="F6" t="s">
        <v>12</v>
      </c>
      <c r="G6" t="s">
        <v>14</v>
      </c>
    </row>
    <row r="7" spans="1:7" ht="12.75">
      <c r="A7">
        <v>11</v>
      </c>
      <c r="B7" t="s">
        <v>15</v>
      </c>
      <c r="C7" t="s">
        <v>55</v>
      </c>
      <c r="D7" t="s">
        <v>5</v>
      </c>
      <c r="E7" t="s">
        <v>7</v>
      </c>
      <c r="F7" t="s">
        <v>12</v>
      </c>
      <c r="G7" t="s">
        <v>14</v>
      </c>
    </row>
    <row r="8" spans="1:7" ht="12.75">
      <c r="A8">
        <v>11</v>
      </c>
      <c r="B8" t="s">
        <v>35</v>
      </c>
      <c r="C8" s="2" t="s">
        <v>1080</v>
      </c>
      <c r="D8" t="s">
        <v>5</v>
      </c>
      <c r="E8" t="s">
        <v>7</v>
      </c>
      <c r="F8" t="s">
        <v>12</v>
      </c>
      <c r="G8" t="s">
        <v>14</v>
      </c>
    </row>
    <row r="9" ht="12.75">
      <c r="C9" s="2"/>
    </row>
    <row r="10" spans="1:9" ht="12.75">
      <c r="A10">
        <v>11</v>
      </c>
      <c r="C10" s="2" t="s">
        <v>1081</v>
      </c>
      <c r="D10" t="s">
        <v>8</v>
      </c>
      <c r="E10" t="s">
        <v>50</v>
      </c>
      <c r="F10" t="s">
        <v>12</v>
      </c>
      <c r="G10" t="s">
        <v>14</v>
      </c>
      <c r="H10" t="str">
        <f>Report!H100</f>
        <v>14SC50</v>
      </c>
      <c r="I10" t="str">
        <f>Report!I100</f>
        <v>15AQ10</v>
      </c>
    </row>
    <row r="11" spans="1:7" ht="12.75">
      <c r="A11">
        <v>11</v>
      </c>
      <c r="B11" s="2" t="s">
        <v>799</v>
      </c>
      <c r="C11" s="2" t="s">
        <v>1084</v>
      </c>
      <c r="D11" t="s">
        <v>8</v>
      </c>
      <c r="E11" t="s">
        <v>50</v>
      </c>
      <c r="F11" t="s">
        <v>12</v>
      </c>
      <c r="G11" t="s">
        <v>14</v>
      </c>
    </row>
    <row r="12" spans="1:7" ht="12.75">
      <c r="A12">
        <v>11</v>
      </c>
      <c r="B12" t="s">
        <v>305</v>
      </c>
      <c r="C12" t="s">
        <v>365</v>
      </c>
      <c r="D12" t="s">
        <v>8</v>
      </c>
      <c r="E12" t="s">
        <v>50</v>
      </c>
      <c r="F12" t="s">
        <v>12</v>
      </c>
      <c r="G12" t="s">
        <v>14</v>
      </c>
    </row>
    <row r="13" spans="1:7" ht="12.75">
      <c r="A13">
        <v>11</v>
      </c>
      <c r="B13" t="s">
        <v>760</v>
      </c>
      <c r="C13" t="s">
        <v>45</v>
      </c>
      <c r="D13" t="s">
        <v>8</v>
      </c>
      <c r="E13" t="s">
        <v>50</v>
      </c>
      <c r="F13" t="s">
        <v>12</v>
      </c>
      <c r="G13" t="s">
        <v>13</v>
      </c>
    </row>
    <row r="14" spans="1:7" ht="12.75">
      <c r="A14">
        <v>11</v>
      </c>
      <c r="B14" t="s">
        <v>15</v>
      </c>
      <c r="C14" t="s">
        <v>60</v>
      </c>
      <c r="D14" t="s">
        <v>50</v>
      </c>
      <c r="E14" t="s">
        <v>8</v>
      </c>
      <c r="F14" t="s">
        <v>12</v>
      </c>
      <c r="G14" t="s">
        <v>14</v>
      </c>
    </row>
    <row r="15" spans="1:7" ht="12.75">
      <c r="A15">
        <v>11</v>
      </c>
      <c r="B15" t="s">
        <v>15</v>
      </c>
      <c r="C15" t="s">
        <v>56</v>
      </c>
      <c r="D15" t="s">
        <v>8</v>
      </c>
      <c r="E15" t="s">
        <v>50</v>
      </c>
      <c r="F15" t="s">
        <v>12</v>
      </c>
      <c r="G15" t="s">
        <v>14</v>
      </c>
    </row>
    <row r="16" spans="1:7" ht="12.75">
      <c r="A16">
        <v>11</v>
      </c>
      <c r="B16" t="s">
        <v>61</v>
      </c>
      <c r="C16" s="2" t="s">
        <v>1082</v>
      </c>
      <c r="D16" t="s">
        <v>8</v>
      </c>
      <c r="E16" t="s">
        <v>50</v>
      </c>
      <c r="F16" t="s">
        <v>12</v>
      </c>
      <c r="G16" t="s">
        <v>14</v>
      </c>
    </row>
    <row r="17" spans="1:7" ht="12.75">
      <c r="A17">
        <v>11</v>
      </c>
      <c r="B17" t="s">
        <v>35</v>
      </c>
      <c r="C17" s="2" t="s">
        <v>60</v>
      </c>
      <c r="D17" t="s">
        <v>8</v>
      </c>
      <c r="E17" t="s">
        <v>50</v>
      </c>
      <c r="F17" t="s">
        <v>12</v>
      </c>
      <c r="G17" t="s">
        <v>13</v>
      </c>
    </row>
    <row r="18" spans="1:7" ht="12.75">
      <c r="A18">
        <v>11</v>
      </c>
      <c r="B18" t="s">
        <v>35</v>
      </c>
      <c r="C18" s="2" t="s">
        <v>1083</v>
      </c>
      <c r="D18" t="s">
        <v>8</v>
      </c>
      <c r="E18" t="s">
        <v>50</v>
      </c>
      <c r="F18" t="s">
        <v>12</v>
      </c>
      <c r="G18" t="s">
        <v>13</v>
      </c>
    </row>
    <row r="19" ht="12.75">
      <c r="C19" s="2"/>
    </row>
    <row r="20" spans="1:9" ht="12.75">
      <c r="A20">
        <v>11</v>
      </c>
      <c r="C20" s="2" t="s">
        <v>1086</v>
      </c>
      <c r="D20" s="2" t="s">
        <v>796</v>
      </c>
      <c r="E20" s="2" t="s">
        <v>797</v>
      </c>
      <c r="F20" t="s">
        <v>12</v>
      </c>
      <c r="G20" t="s">
        <v>14</v>
      </c>
      <c r="H20" t="str">
        <f>Report!H101</f>
        <v>26AQ1</v>
      </c>
      <c r="I20" t="str">
        <f>Report!I101</f>
        <v>3SC59</v>
      </c>
    </row>
    <row r="21" spans="1:7" ht="12.75">
      <c r="A21">
        <v>11</v>
      </c>
      <c r="B21" s="2" t="s">
        <v>799</v>
      </c>
      <c r="C21" s="2" t="s">
        <v>1108</v>
      </c>
      <c r="D21" s="2" t="s">
        <v>796</v>
      </c>
      <c r="E21" s="2" t="s">
        <v>797</v>
      </c>
      <c r="F21" t="s">
        <v>12</v>
      </c>
      <c r="G21" t="s">
        <v>14</v>
      </c>
    </row>
    <row r="22" spans="1:7" ht="12.75">
      <c r="A22">
        <v>11</v>
      </c>
      <c r="B22" t="s">
        <v>760</v>
      </c>
      <c r="C22" t="s">
        <v>40</v>
      </c>
      <c r="D22" s="2" t="s">
        <v>796</v>
      </c>
      <c r="E22" s="2" t="s">
        <v>797</v>
      </c>
      <c r="F22" t="s">
        <v>12</v>
      </c>
      <c r="G22" t="s">
        <v>14</v>
      </c>
    </row>
    <row r="23" spans="1:7" ht="12.75">
      <c r="A23">
        <v>11</v>
      </c>
      <c r="B23" t="s">
        <v>760</v>
      </c>
      <c r="C23" t="s">
        <v>41</v>
      </c>
      <c r="D23" s="2" t="s">
        <v>796</v>
      </c>
      <c r="E23" s="2" t="s">
        <v>797</v>
      </c>
      <c r="F23" t="s">
        <v>12</v>
      </c>
      <c r="G23" t="s">
        <v>14</v>
      </c>
    </row>
    <row r="24" spans="1:7" ht="12.75">
      <c r="A24">
        <v>11</v>
      </c>
      <c r="B24" t="s">
        <v>15</v>
      </c>
      <c r="C24" t="s">
        <v>51</v>
      </c>
      <c r="D24" s="2" t="s">
        <v>796</v>
      </c>
      <c r="E24" s="2" t="s">
        <v>797</v>
      </c>
      <c r="F24" t="s">
        <v>12</v>
      </c>
      <c r="G24" t="s">
        <v>14</v>
      </c>
    </row>
    <row r="25" spans="1:7" ht="12.75">
      <c r="A25">
        <v>11</v>
      </c>
      <c r="B25" t="s">
        <v>15</v>
      </c>
      <c r="C25" t="s">
        <v>58</v>
      </c>
      <c r="D25" s="2" t="s">
        <v>796</v>
      </c>
      <c r="E25" s="2" t="s">
        <v>797</v>
      </c>
      <c r="F25" t="s">
        <v>12</v>
      </c>
      <c r="G25" t="s">
        <v>14</v>
      </c>
    </row>
    <row r="26" spans="1:7" ht="12.75">
      <c r="A26">
        <v>11</v>
      </c>
      <c r="B26" t="s">
        <v>35</v>
      </c>
      <c r="C26" s="2" t="s">
        <v>1088</v>
      </c>
      <c r="D26" s="2" t="s">
        <v>796</v>
      </c>
      <c r="E26" s="2" t="s">
        <v>797</v>
      </c>
      <c r="F26" t="s">
        <v>12</v>
      </c>
      <c r="G26" t="s">
        <v>14</v>
      </c>
    </row>
    <row r="27" spans="1:7" ht="12.75">
      <c r="A27">
        <v>11</v>
      </c>
      <c r="B27" t="s">
        <v>35</v>
      </c>
      <c r="C27" s="2" t="s">
        <v>1089</v>
      </c>
      <c r="D27" s="2" t="s">
        <v>796</v>
      </c>
      <c r="E27" s="2" t="s">
        <v>797</v>
      </c>
      <c r="F27" t="s">
        <v>12</v>
      </c>
      <c r="G27" t="s">
        <v>14</v>
      </c>
    </row>
    <row r="28" spans="1:7" ht="12.75">
      <c r="A28">
        <v>11</v>
      </c>
      <c r="B28" t="s">
        <v>35</v>
      </c>
      <c r="C28" s="2" t="s">
        <v>1090</v>
      </c>
      <c r="D28" s="2" t="s">
        <v>796</v>
      </c>
      <c r="E28" s="2" t="s">
        <v>797</v>
      </c>
      <c r="F28" t="s">
        <v>12</v>
      </c>
      <c r="G28" t="s">
        <v>14</v>
      </c>
    </row>
    <row r="29" ht="12.75">
      <c r="C29" s="2" t="s">
        <v>777</v>
      </c>
    </row>
    <row r="30" ht="12.75">
      <c r="C30" s="2" t="s">
        <v>778</v>
      </c>
    </row>
    <row r="31" ht="12.75">
      <c r="C31" s="2" t="s">
        <v>1085</v>
      </c>
    </row>
    <row r="32" ht="12.75">
      <c r="C32" s="2"/>
    </row>
    <row r="33" spans="1:9" ht="12.75">
      <c r="A33">
        <v>11</v>
      </c>
      <c r="C33" s="2" t="s">
        <v>1091</v>
      </c>
      <c r="D33" s="2" t="s">
        <v>796</v>
      </c>
      <c r="E33" t="s">
        <v>6</v>
      </c>
      <c r="F33" t="s">
        <v>12</v>
      </c>
      <c r="G33" t="s">
        <v>14</v>
      </c>
      <c r="H33" t="str">
        <f>Report!H102</f>
        <v>4SA19</v>
      </c>
      <c r="I33" t="str">
        <f>Report!I102</f>
        <v>25CP41</v>
      </c>
    </row>
    <row r="34" spans="1:7" ht="12.75">
      <c r="A34">
        <v>11</v>
      </c>
      <c r="B34" t="s">
        <v>760</v>
      </c>
      <c r="C34" t="s">
        <v>42</v>
      </c>
      <c r="D34" s="2" t="s">
        <v>796</v>
      </c>
      <c r="E34" t="s">
        <v>6</v>
      </c>
      <c r="F34" t="s">
        <v>12</v>
      </c>
      <c r="G34" t="s">
        <v>14</v>
      </c>
    </row>
    <row r="35" spans="1:7" ht="12.75">
      <c r="A35">
        <v>11</v>
      </c>
      <c r="B35" t="s">
        <v>15</v>
      </c>
      <c r="C35" t="s">
        <v>53</v>
      </c>
      <c r="D35" s="2" t="s">
        <v>796</v>
      </c>
      <c r="E35" t="s">
        <v>6</v>
      </c>
      <c r="F35" t="s">
        <v>12</v>
      </c>
      <c r="G35" t="s">
        <v>14</v>
      </c>
    </row>
    <row r="36" spans="1:7" ht="12.75">
      <c r="A36">
        <v>11</v>
      </c>
      <c r="B36" t="s">
        <v>35</v>
      </c>
      <c r="C36" s="2" t="s">
        <v>1092</v>
      </c>
      <c r="D36" s="2" t="s">
        <v>796</v>
      </c>
      <c r="E36" t="s">
        <v>6</v>
      </c>
      <c r="F36" t="s">
        <v>12</v>
      </c>
      <c r="G36" t="s">
        <v>14</v>
      </c>
    </row>
    <row r="37" ht="12.75">
      <c r="C37" s="1"/>
    </row>
    <row r="38" spans="1:9" ht="12.75">
      <c r="A38">
        <v>11</v>
      </c>
      <c r="C38" s="2" t="s">
        <v>1093</v>
      </c>
      <c r="D38" s="2" t="s">
        <v>796</v>
      </c>
      <c r="E38" t="s">
        <v>10</v>
      </c>
      <c r="F38" t="s">
        <v>12</v>
      </c>
      <c r="G38" t="s">
        <v>14</v>
      </c>
      <c r="H38" t="str">
        <f>Report!H103</f>
        <v>5SC35</v>
      </c>
      <c r="I38" t="str">
        <f>Report!I103</f>
        <v>24AQ25</v>
      </c>
    </row>
    <row r="39" spans="1:7" ht="12.75">
      <c r="A39">
        <v>11</v>
      </c>
      <c r="B39" t="s">
        <v>760</v>
      </c>
      <c r="C39" t="s">
        <v>43</v>
      </c>
      <c r="D39" s="2" t="s">
        <v>796</v>
      </c>
      <c r="E39" t="s">
        <v>10</v>
      </c>
      <c r="F39" t="s">
        <v>12</v>
      </c>
      <c r="G39" t="s">
        <v>14</v>
      </c>
    </row>
    <row r="40" spans="1:7" ht="12.75">
      <c r="A40">
        <v>11</v>
      </c>
      <c r="B40" t="s">
        <v>15</v>
      </c>
      <c r="C40" t="s">
        <v>54</v>
      </c>
      <c r="D40" s="2" t="s">
        <v>796</v>
      </c>
      <c r="E40" t="s">
        <v>10</v>
      </c>
      <c r="F40" t="s">
        <v>12</v>
      </c>
      <c r="G40" t="s">
        <v>14</v>
      </c>
    </row>
    <row r="41" spans="1:7" ht="12.75">
      <c r="A41">
        <v>11</v>
      </c>
      <c r="B41" t="s">
        <v>61</v>
      </c>
      <c r="C41" s="2" t="s">
        <v>1094</v>
      </c>
      <c r="D41" s="2" t="s">
        <v>796</v>
      </c>
      <c r="E41" t="s">
        <v>10</v>
      </c>
      <c r="F41" t="s">
        <v>12</v>
      </c>
      <c r="G41" t="s">
        <v>14</v>
      </c>
    </row>
    <row r="42" spans="1:7" ht="12.75">
      <c r="A42">
        <v>11</v>
      </c>
      <c r="B42" t="s">
        <v>35</v>
      </c>
      <c r="C42" s="2" t="s">
        <v>1095</v>
      </c>
      <c r="D42" s="2" t="s">
        <v>796</v>
      </c>
      <c r="E42" t="s">
        <v>10</v>
      </c>
      <c r="F42" t="s">
        <v>12</v>
      </c>
      <c r="G42" t="s">
        <v>14</v>
      </c>
    </row>
    <row r="44" spans="1:9" ht="12.75">
      <c r="A44">
        <v>11</v>
      </c>
      <c r="C44" s="2" t="s">
        <v>1096</v>
      </c>
      <c r="D44" s="2" t="s">
        <v>797</v>
      </c>
      <c r="E44" t="s">
        <v>50</v>
      </c>
      <c r="F44" t="s">
        <v>12</v>
      </c>
      <c r="G44" t="s">
        <v>13</v>
      </c>
      <c r="H44" t="str">
        <f>Report!H104</f>
        <v>8AR14</v>
      </c>
      <c r="I44" t="str">
        <f>Report!I104</f>
        <v>21VI46</v>
      </c>
    </row>
    <row r="45" spans="1:7" ht="12.75">
      <c r="A45">
        <v>11</v>
      </c>
      <c r="B45" t="s">
        <v>760</v>
      </c>
      <c r="C45" t="s">
        <v>46</v>
      </c>
      <c r="D45" s="2" t="s">
        <v>797</v>
      </c>
      <c r="E45" t="s">
        <v>50</v>
      </c>
      <c r="F45" t="s">
        <v>12</v>
      </c>
      <c r="G45" t="s">
        <v>13</v>
      </c>
    </row>
    <row r="46" spans="1:7" ht="12.75">
      <c r="A46">
        <v>11</v>
      </c>
      <c r="B46" t="s">
        <v>15</v>
      </c>
      <c r="C46" t="s">
        <v>59</v>
      </c>
      <c r="D46" s="2" t="s">
        <v>797</v>
      </c>
      <c r="E46" t="s">
        <v>50</v>
      </c>
      <c r="F46" t="s">
        <v>12</v>
      </c>
      <c r="G46" t="s">
        <v>14</v>
      </c>
    </row>
    <row r="47" spans="1:7" ht="12.75">
      <c r="A47">
        <v>11</v>
      </c>
      <c r="B47" t="s">
        <v>35</v>
      </c>
      <c r="C47" s="2" t="s">
        <v>1097</v>
      </c>
      <c r="D47" s="2" t="s">
        <v>797</v>
      </c>
      <c r="E47" t="s">
        <v>50</v>
      </c>
      <c r="F47" t="s">
        <v>12</v>
      </c>
      <c r="G47" t="s">
        <v>13</v>
      </c>
    </row>
    <row r="48" ht="12.75">
      <c r="C48" s="2" t="s">
        <v>1087</v>
      </c>
    </row>
    <row r="50" spans="1:9" ht="12.75">
      <c r="A50">
        <v>11</v>
      </c>
      <c r="C50" s="2" t="s">
        <v>1098</v>
      </c>
      <c r="D50" t="s">
        <v>50</v>
      </c>
      <c r="E50" t="s">
        <v>6</v>
      </c>
      <c r="F50" t="s">
        <v>12</v>
      </c>
      <c r="G50" t="s">
        <v>14</v>
      </c>
      <c r="H50" t="str">
        <f>Report!H105</f>
        <v>16CP32</v>
      </c>
      <c r="I50" t="str">
        <f>Report!I105</f>
        <v>13SA28</v>
      </c>
    </row>
    <row r="51" spans="1:7" ht="12.75">
      <c r="A51">
        <v>11</v>
      </c>
      <c r="B51" t="s">
        <v>760</v>
      </c>
      <c r="C51" t="s">
        <v>47</v>
      </c>
      <c r="D51" t="s">
        <v>50</v>
      </c>
      <c r="E51" t="s">
        <v>6</v>
      </c>
      <c r="F51" t="s">
        <v>12</v>
      </c>
      <c r="G51" t="s">
        <v>14</v>
      </c>
    </row>
    <row r="52" spans="1:7" ht="12.75">
      <c r="A52">
        <v>11</v>
      </c>
      <c r="B52" t="s">
        <v>35</v>
      </c>
      <c r="C52" s="2" t="s">
        <v>1099</v>
      </c>
      <c r="D52" t="s">
        <v>50</v>
      </c>
      <c r="E52" t="s">
        <v>6</v>
      </c>
      <c r="F52" t="s">
        <v>12</v>
      </c>
      <c r="G52" t="s">
        <v>14</v>
      </c>
    </row>
    <row r="53" ht="12.75">
      <c r="C53" s="2" t="s">
        <v>779</v>
      </c>
    </row>
    <row r="55" spans="1:9" ht="12.75">
      <c r="A55">
        <v>11</v>
      </c>
      <c r="C55" s="2" t="s">
        <v>1100</v>
      </c>
      <c r="D55" t="s">
        <v>10</v>
      </c>
      <c r="E55" t="s">
        <v>7</v>
      </c>
      <c r="F55" t="s">
        <v>12</v>
      </c>
      <c r="G55" t="s">
        <v>14</v>
      </c>
      <c r="H55" t="str">
        <f>Report!H106</f>
        <v>14SA30</v>
      </c>
      <c r="I55" t="str">
        <f>Report!I106</f>
        <v>15CP30</v>
      </c>
    </row>
    <row r="56" spans="1:7" ht="12.75">
      <c r="A56">
        <v>11</v>
      </c>
      <c r="B56" t="s">
        <v>760</v>
      </c>
      <c r="C56" t="s">
        <v>48</v>
      </c>
      <c r="D56" t="s">
        <v>10</v>
      </c>
      <c r="E56" t="s">
        <v>7</v>
      </c>
      <c r="F56" t="s">
        <v>12</v>
      </c>
      <c r="G56" t="s">
        <v>14</v>
      </c>
    </row>
    <row r="57" spans="1:7" ht="12.75">
      <c r="A57">
        <v>11</v>
      </c>
      <c r="B57" t="s">
        <v>15</v>
      </c>
      <c r="C57" t="s">
        <v>57</v>
      </c>
      <c r="D57" t="s">
        <v>10</v>
      </c>
      <c r="E57" t="s">
        <v>7</v>
      </c>
      <c r="F57" t="s">
        <v>12</v>
      </c>
      <c r="G57" t="s">
        <v>14</v>
      </c>
    </row>
    <row r="58" spans="1:7" ht="12.75">
      <c r="A58">
        <v>11</v>
      </c>
      <c r="B58" t="s">
        <v>35</v>
      </c>
      <c r="C58" s="2" t="s">
        <v>1101</v>
      </c>
      <c r="D58" t="s">
        <v>10</v>
      </c>
      <c r="E58" t="s">
        <v>7</v>
      </c>
      <c r="F58" t="s">
        <v>12</v>
      </c>
      <c r="G58" t="s">
        <v>14</v>
      </c>
    </row>
    <row r="59" ht="12.75">
      <c r="C59" s="2" t="s">
        <v>1102</v>
      </c>
    </row>
    <row r="61" ht="12.75">
      <c r="C61" s="6" t="s">
        <v>1104</v>
      </c>
    </row>
    <row r="63" spans="1:7" ht="12.75">
      <c r="A63">
        <v>11</v>
      </c>
      <c r="B63" t="s">
        <v>35</v>
      </c>
      <c r="C63" s="2" t="s">
        <v>1109</v>
      </c>
      <c r="D63" t="s">
        <v>7</v>
      </c>
      <c r="E63" t="s">
        <v>63</v>
      </c>
      <c r="F63" t="s">
        <v>12</v>
      </c>
      <c r="G63" t="s">
        <v>13</v>
      </c>
    </row>
    <row r="64" ht="12.75">
      <c r="C64" s="2" t="s">
        <v>1103</v>
      </c>
    </row>
    <row r="66" spans="1:7" ht="12.75">
      <c r="A66">
        <v>11</v>
      </c>
      <c r="C66" s="2" t="s">
        <v>1105</v>
      </c>
      <c r="D66" t="s">
        <v>10</v>
      </c>
      <c r="E66" t="s">
        <v>50</v>
      </c>
      <c r="F66" t="s">
        <v>12</v>
      </c>
      <c r="G66" t="s">
        <v>14</v>
      </c>
    </row>
    <row r="67" spans="1:7" ht="12.75">
      <c r="A67">
        <v>11</v>
      </c>
      <c r="B67" t="s">
        <v>760</v>
      </c>
      <c r="C67" s="2" t="s">
        <v>481</v>
      </c>
      <c r="D67" t="s">
        <v>10</v>
      </c>
      <c r="E67" t="s">
        <v>50</v>
      </c>
      <c r="F67" t="s">
        <v>12</v>
      </c>
      <c r="G67" t="s">
        <v>14</v>
      </c>
    </row>
    <row r="68" ht="12.75">
      <c r="C68" s="2"/>
    </row>
    <row r="69" spans="1:7" ht="12.75">
      <c r="A69">
        <v>11</v>
      </c>
      <c r="B69" t="s">
        <v>760</v>
      </c>
      <c r="C69" s="2" t="s">
        <v>1106</v>
      </c>
      <c r="D69" t="s">
        <v>8</v>
      </c>
      <c r="E69" t="s">
        <v>6</v>
      </c>
      <c r="F69" t="s">
        <v>12</v>
      </c>
      <c r="G69" t="s">
        <v>13</v>
      </c>
    </row>
    <row r="70" ht="12.75">
      <c r="C70" s="2"/>
    </row>
    <row r="71" spans="1:7" ht="12.75">
      <c r="A71">
        <v>11</v>
      </c>
      <c r="B71" t="s">
        <v>15</v>
      </c>
      <c r="C71" s="2" t="s">
        <v>479</v>
      </c>
      <c r="D71" t="s">
        <v>50</v>
      </c>
      <c r="E71" t="s">
        <v>10</v>
      </c>
      <c r="F71" t="s">
        <v>12</v>
      </c>
      <c r="G71" t="s">
        <v>14</v>
      </c>
    </row>
    <row r="72" ht="12.75">
      <c r="C72" s="2"/>
    </row>
    <row r="73" spans="1:7" ht="12.75">
      <c r="A73">
        <v>11</v>
      </c>
      <c r="C73" s="2" t="s">
        <v>1107</v>
      </c>
      <c r="D73" s="2" t="s">
        <v>796</v>
      </c>
      <c r="E73" t="s">
        <v>7</v>
      </c>
      <c r="F73" t="s">
        <v>12</v>
      </c>
      <c r="G73" t="s">
        <v>14</v>
      </c>
    </row>
    <row r="74" spans="1:7" ht="12.75">
      <c r="A74">
        <v>11</v>
      </c>
      <c r="B74" t="s">
        <v>760</v>
      </c>
      <c r="C74" t="s">
        <v>44</v>
      </c>
      <c r="D74" s="2" t="s">
        <v>796</v>
      </c>
      <c r="E74" t="s">
        <v>7</v>
      </c>
      <c r="F74" t="s">
        <v>12</v>
      </c>
      <c r="G74" t="s">
        <v>14</v>
      </c>
    </row>
  </sheetData>
  <sheetProtection/>
  <printOptions/>
  <pageMargins left="0.75" right="0.75" top="1" bottom="1" header="0.5" footer="0.5"/>
  <pageSetup fitToHeight="2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9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.28125" style="0" bestFit="1" customWidth="1"/>
    <col min="2" max="2" width="10.28125" style="0" bestFit="1" customWidth="1"/>
    <col min="3" max="3" width="48.57421875" style="0" customWidth="1"/>
    <col min="5" max="5" width="11.140625" style="0" bestFit="1" customWidth="1"/>
    <col min="8" max="8" width="9.57421875" style="0" customWidth="1"/>
  </cols>
  <sheetData>
    <row r="2" ht="12.75">
      <c r="C2" s="6" t="s">
        <v>852</v>
      </c>
    </row>
    <row r="4" spans="1:9" ht="12.75">
      <c r="A4">
        <v>12</v>
      </c>
      <c r="C4" s="2" t="s">
        <v>1111</v>
      </c>
      <c r="D4" t="s">
        <v>9</v>
      </c>
      <c r="E4" t="s">
        <v>5</v>
      </c>
      <c r="F4" t="s">
        <v>12</v>
      </c>
      <c r="G4" t="s">
        <v>14</v>
      </c>
      <c r="H4" t="str">
        <f>Report!H108</f>
        <v>22SC5</v>
      </c>
      <c r="I4" t="str">
        <f>Report!I108</f>
        <v>7AQ55</v>
      </c>
    </row>
    <row r="5" ht="12.75">
      <c r="C5" t="s">
        <v>110</v>
      </c>
    </row>
    <row r="6" ht="12.75">
      <c r="C6" t="s">
        <v>111</v>
      </c>
    </row>
    <row r="7" ht="12.75">
      <c r="C7" t="s">
        <v>112</v>
      </c>
    </row>
    <row r="8" ht="12.75">
      <c r="C8" t="s">
        <v>168</v>
      </c>
    </row>
    <row r="9" ht="12.75">
      <c r="C9" t="s">
        <v>169</v>
      </c>
    </row>
    <row r="10" ht="12.75">
      <c r="C10" t="s">
        <v>167</v>
      </c>
    </row>
    <row r="11" ht="12.75">
      <c r="C11" t="s">
        <v>170</v>
      </c>
    </row>
    <row r="13" spans="1:9" ht="12.75">
      <c r="A13">
        <v>12</v>
      </c>
      <c r="C13" s="2" t="s">
        <v>1112</v>
      </c>
      <c r="D13" t="s">
        <v>5</v>
      </c>
      <c r="E13" t="s">
        <v>9</v>
      </c>
      <c r="F13" t="s">
        <v>12</v>
      </c>
      <c r="G13" t="s">
        <v>13</v>
      </c>
      <c r="H13" t="str">
        <f>Report!H109</f>
        <v>22SC5</v>
      </c>
      <c r="I13" t="str">
        <f>Report!I109</f>
        <v>7AQ55</v>
      </c>
    </row>
    <row r="14" spans="1:7" ht="12.75">
      <c r="A14">
        <v>12</v>
      </c>
      <c r="B14" s="2" t="s">
        <v>799</v>
      </c>
      <c r="C14" s="2" t="s">
        <v>1113</v>
      </c>
      <c r="D14" t="s">
        <v>5</v>
      </c>
      <c r="E14" t="s">
        <v>9</v>
      </c>
      <c r="F14" t="s">
        <v>12</v>
      </c>
      <c r="G14" t="s">
        <v>13</v>
      </c>
    </row>
    <row r="15" spans="1:7" ht="12.75">
      <c r="A15">
        <v>12</v>
      </c>
      <c r="B15" t="s">
        <v>305</v>
      </c>
      <c r="C15" t="s">
        <v>366</v>
      </c>
      <c r="D15" t="s">
        <v>5</v>
      </c>
      <c r="E15" t="s">
        <v>9</v>
      </c>
      <c r="F15" t="s">
        <v>12</v>
      </c>
      <c r="G15" t="s">
        <v>13</v>
      </c>
    </row>
    <row r="16" spans="1:7" ht="12.75">
      <c r="A16">
        <v>12</v>
      </c>
      <c r="B16" t="s">
        <v>269</v>
      </c>
      <c r="C16" s="2" t="s">
        <v>1114</v>
      </c>
      <c r="D16" t="s">
        <v>5</v>
      </c>
      <c r="E16" t="s">
        <v>9</v>
      </c>
      <c r="F16" t="s">
        <v>12</v>
      </c>
      <c r="G16" t="s">
        <v>13</v>
      </c>
    </row>
    <row r="17" spans="1:7" ht="12.75">
      <c r="A17">
        <v>12</v>
      </c>
      <c r="B17" t="s">
        <v>15</v>
      </c>
      <c r="C17" t="s">
        <v>466</v>
      </c>
      <c r="D17" t="s">
        <v>5</v>
      </c>
      <c r="E17" t="s">
        <v>9</v>
      </c>
      <c r="F17" t="s">
        <v>12</v>
      </c>
      <c r="G17" t="s">
        <v>14</v>
      </c>
    </row>
    <row r="18" spans="1:7" ht="12.75">
      <c r="A18">
        <v>12</v>
      </c>
      <c r="B18" t="s">
        <v>35</v>
      </c>
      <c r="C18" s="2" t="s">
        <v>1115</v>
      </c>
      <c r="D18" t="s">
        <v>5</v>
      </c>
      <c r="E18" t="s">
        <v>9</v>
      </c>
      <c r="F18" t="s">
        <v>12</v>
      </c>
      <c r="G18" t="s">
        <v>13</v>
      </c>
    </row>
    <row r="20" spans="1:9" ht="12.75">
      <c r="A20">
        <v>12</v>
      </c>
      <c r="C20" s="2" t="s">
        <v>1116</v>
      </c>
      <c r="D20" t="s">
        <v>368</v>
      </c>
      <c r="E20" t="s">
        <v>369</v>
      </c>
      <c r="F20" t="s">
        <v>12</v>
      </c>
      <c r="G20" t="s">
        <v>13</v>
      </c>
      <c r="H20" t="str">
        <f>Report!H110</f>
        <v>15VI42</v>
      </c>
      <c r="I20" t="str">
        <f>Report!I110</f>
        <v>14AR18</v>
      </c>
    </row>
    <row r="21" spans="1:7" ht="12.75">
      <c r="A21">
        <v>12</v>
      </c>
      <c r="B21" s="2" t="s">
        <v>799</v>
      </c>
      <c r="C21" s="2" t="s">
        <v>1117</v>
      </c>
      <c r="D21" t="s">
        <v>368</v>
      </c>
      <c r="E21" t="s">
        <v>369</v>
      </c>
      <c r="F21" t="s">
        <v>12</v>
      </c>
      <c r="G21" t="s">
        <v>13</v>
      </c>
    </row>
    <row r="22" spans="1:7" ht="12.75">
      <c r="A22">
        <v>12</v>
      </c>
      <c r="B22" t="s">
        <v>305</v>
      </c>
      <c r="C22" t="s">
        <v>367</v>
      </c>
      <c r="D22" t="s">
        <v>368</v>
      </c>
      <c r="E22" t="s">
        <v>369</v>
      </c>
      <c r="F22" t="s">
        <v>12</v>
      </c>
      <c r="G22" t="s">
        <v>13</v>
      </c>
    </row>
    <row r="23" spans="1:7" ht="12.75">
      <c r="A23">
        <v>12</v>
      </c>
      <c r="B23" t="s">
        <v>269</v>
      </c>
      <c r="C23" s="2" t="s">
        <v>1122</v>
      </c>
      <c r="D23" t="s">
        <v>368</v>
      </c>
      <c r="E23" t="s">
        <v>369</v>
      </c>
      <c r="F23" t="s">
        <v>12</v>
      </c>
      <c r="G23" t="s">
        <v>13</v>
      </c>
    </row>
    <row r="24" spans="1:7" ht="12.75">
      <c r="A24">
        <v>12</v>
      </c>
      <c r="B24" t="s">
        <v>15</v>
      </c>
      <c r="C24" t="s">
        <v>459</v>
      </c>
      <c r="D24" t="s">
        <v>368</v>
      </c>
      <c r="E24" t="s">
        <v>369</v>
      </c>
      <c r="F24" t="s">
        <v>12</v>
      </c>
      <c r="G24" t="s">
        <v>13</v>
      </c>
    </row>
    <row r="25" spans="1:7" ht="12.75">
      <c r="A25">
        <v>12</v>
      </c>
      <c r="B25" t="s">
        <v>61</v>
      </c>
      <c r="C25" s="2" t="s">
        <v>459</v>
      </c>
      <c r="D25" t="s">
        <v>368</v>
      </c>
      <c r="E25" t="s">
        <v>369</v>
      </c>
      <c r="F25" t="s">
        <v>12</v>
      </c>
      <c r="G25" t="s">
        <v>13</v>
      </c>
    </row>
    <row r="26" spans="1:7" ht="12.75">
      <c r="A26">
        <v>12</v>
      </c>
      <c r="B26" t="s">
        <v>61</v>
      </c>
      <c r="C26" s="2" t="s">
        <v>1123</v>
      </c>
      <c r="D26" t="s">
        <v>368</v>
      </c>
      <c r="E26" t="s">
        <v>369</v>
      </c>
      <c r="F26" t="s">
        <v>12</v>
      </c>
      <c r="G26" t="s">
        <v>13</v>
      </c>
    </row>
    <row r="27" spans="1:7" ht="12.75">
      <c r="A27">
        <v>12</v>
      </c>
      <c r="B27" t="s">
        <v>35</v>
      </c>
      <c r="C27" s="2" t="s">
        <v>1124</v>
      </c>
      <c r="D27" t="s">
        <v>368</v>
      </c>
      <c r="E27" t="s">
        <v>369</v>
      </c>
      <c r="F27" t="s">
        <v>12</v>
      </c>
      <c r="G27" t="s">
        <v>13</v>
      </c>
    </row>
    <row r="29" spans="1:9" ht="12.75">
      <c r="A29">
        <v>12</v>
      </c>
      <c r="C29" s="2" t="s">
        <v>1125</v>
      </c>
      <c r="D29" s="2" t="s">
        <v>797</v>
      </c>
      <c r="E29" s="2" t="s">
        <v>796</v>
      </c>
      <c r="F29" t="s">
        <v>12</v>
      </c>
      <c r="G29" t="s">
        <v>14</v>
      </c>
      <c r="H29" t="str">
        <f>Report!H111</f>
        <v>3SC29</v>
      </c>
      <c r="I29" t="str">
        <f>Report!I111</f>
        <v>26AQ31</v>
      </c>
    </row>
    <row r="30" spans="1:7" ht="12.75">
      <c r="A30">
        <v>12</v>
      </c>
      <c r="B30" t="s">
        <v>269</v>
      </c>
      <c r="C30" s="2" t="s">
        <v>1126</v>
      </c>
      <c r="D30" s="2" t="s">
        <v>797</v>
      </c>
      <c r="E30" s="2" t="s">
        <v>796</v>
      </c>
      <c r="F30" t="s">
        <v>12</v>
      </c>
      <c r="G30" t="s">
        <v>13</v>
      </c>
    </row>
    <row r="31" spans="1:7" ht="12.75">
      <c r="A31">
        <v>12</v>
      </c>
      <c r="B31" t="s">
        <v>35</v>
      </c>
      <c r="C31" s="2" t="s">
        <v>156</v>
      </c>
      <c r="D31" s="2" t="s">
        <v>797</v>
      </c>
      <c r="E31" s="2" t="s">
        <v>796</v>
      </c>
      <c r="F31" t="s">
        <v>12</v>
      </c>
      <c r="G31" t="s">
        <v>14</v>
      </c>
    </row>
    <row r="32" ht="12.75">
      <c r="C32" s="2" t="s">
        <v>1121</v>
      </c>
    </row>
    <row r="33" ht="12.75">
      <c r="C33" s="2"/>
    </row>
    <row r="35" ht="12.75">
      <c r="C35" s="2"/>
    </row>
    <row r="49" ht="12.75">
      <c r="C49" s="1"/>
    </row>
    <row r="56" ht="12.75">
      <c r="C56" s="1"/>
    </row>
    <row r="68" ht="12.75">
      <c r="C68" s="1"/>
    </row>
    <row r="78" ht="12.75">
      <c r="C78" s="1"/>
    </row>
    <row r="80" ht="12.75">
      <c r="C80" s="1"/>
    </row>
    <row r="85" ht="12.75">
      <c r="C85" s="1"/>
    </row>
    <row r="87" ht="12.75">
      <c r="C87" s="1"/>
    </row>
    <row r="92" ht="12.75">
      <c r="C92" s="1"/>
    </row>
    <row r="94" ht="12.75">
      <c r="C94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.28125" style="0" bestFit="1" customWidth="1"/>
    <col min="3" max="3" width="47.140625" style="0" customWidth="1"/>
    <col min="4" max="4" width="9.8515625" style="0" customWidth="1"/>
    <col min="6" max="6" width="8.00390625" style="0" customWidth="1"/>
    <col min="7" max="7" width="7.7109375" style="0" bestFit="1" customWidth="1"/>
    <col min="8" max="8" width="10.8515625" style="0" customWidth="1"/>
  </cols>
  <sheetData>
    <row r="2" ht="12.75">
      <c r="C2" s="6" t="s">
        <v>1127</v>
      </c>
    </row>
    <row r="3" ht="12.75">
      <c r="C3" s="2" t="s">
        <v>1128</v>
      </c>
    </row>
    <row r="4" ht="12.75">
      <c r="C4" s="2" t="s">
        <v>1129</v>
      </c>
    </row>
    <row r="6" spans="3:7" ht="12.75">
      <c r="C6" s="2" t="s">
        <v>475</v>
      </c>
      <c r="D6" s="2" t="s">
        <v>8</v>
      </c>
      <c r="E6" s="2" t="s">
        <v>10</v>
      </c>
      <c r="F6" s="2" t="s">
        <v>12</v>
      </c>
      <c r="G6" s="2" t="s">
        <v>14</v>
      </c>
    </row>
    <row r="7" spans="2:7" ht="12.75">
      <c r="B7" s="2" t="s">
        <v>799</v>
      </c>
      <c r="C7" s="2" t="s">
        <v>1136</v>
      </c>
      <c r="D7" s="2" t="s">
        <v>8</v>
      </c>
      <c r="E7" s="2" t="s">
        <v>10</v>
      </c>
      <c r="F7" s="2" t="s">
        <v>12</v>
      </c>
      <c r="G7" s="2" t="s">
        <v>14</v>
      </c>
    </row>
    <row r="9" spans="3:9" ht="12.75">
      <c r="C9" s="2" t="s">
        <v>827</v>
      </c>
      <c r="D9" t="s">
        <v>319</v>
      </c>
      <c r="E9" t="s">
        <v>8</v>
      </c>
      <c r="F9" t="s">
        <v>12</v>
      </c>
      <c r="G9" t="s">
        <v>13</v>
      </c>
      <c r="H9" t="str">
        <f>Report!H21</f>
        <v>13GE34</v>
      </c>
      <c r="I9" t="str">
        <f>Report!I21</f>
        <v>16CA26</v>
      </c>
    </row>
    <row r="10" spans="2:7" ht="12.75">
      <c r="B10" s="2" t="s">
        <v>799</v>
      </c>
      <c r="C10" s="2" t="s">
        <v>828</v>
      </c>
      <c r="D10" t="s">
        <v>319</v>
      </c>
      <c r="E10" t="s">
        <v>8</v>
      </c>
      <c r="F10" t="s">
        <v>12</v>
      </c>
      <c r="G10" t="s">
        <v>13</v>
      </c>
    </row>
    <row r="11" spans="2:7" ht="12.75">
      <c r="B11" t="s">
        <v>284</v>
      </c>
      <c r="C11" t="s">
        <v>285</v>
      </c>
      <c r="D11" t="s">
        <v>319</v>
      </c>
      <c r="E11" t="s">
        <v>8</v>
      </c>
      <c r="F11" t="s">
        <v>12</v>
      </c>
      <c r="G11" t="s">
        <v>13</v>
      </c>
    </row>
    <row r="12" spans="2:7" ht="12.75">
      <c r="B12" t="s">
        <v>15</v>
      </c>
      <c r="C12" t="s">
        <v>287</v>
      </c>
      <c r="D12" t="s">
        <v>319</v>
      </c>
      <c r="E12" t="s">
        <v>8</v>
      </c>
      <c r="F12" t="s">
        <v>12</v>
      </c>
      <c r="G12" t="s">
        <v>13</v>
      </c>
    </row>
    <row r="13" spans="2:7" ht="12.75">
      <c r="B13" t="s">
        <v>35</v>
      </c>
      <c r="C13" s="2" t="s">
        <v>833</v>
      </c>
      <c r="D13" t="s">
        <v>319</v>
      </c>
      <c r="E13" t="s">
        <v>8</v>
      </c>
      <c r="F13" t="s">
        <v>12</v>
      </c>
      <c r="G13" t="s">
        <v>13</v>
      </c>
    </row>
    <row r="15" spans="3:9" ht="12.75">
      <c r="C15" s="2" t="s">
        <v>1130</v>
      </c>
      <c r="D15" s="2" t="s">
        <v>796</v>
      </c>
      <c r="E15" t="s">
        <v>9</v>
      </c>
      <c r="F15" t="s">
        <v>12</v>
      </c>
      <c r="G15" t="s">
        <v>14</v>
      </c>
      <c r="H15" t="str">
        <f>Report!H19</f>
        <v>2AR10</v>
      </c>
      <c r="I15" t="str">
        <f>Report!I19</f>
        <v>27VI50</v>
      </c>
    </row>
    <row r="16" spans="2:7" ht="12.75">
      <c r="B16" t="s">
        <v>284</v>
      </c>
      <c r="C16" s="2" t="s">
        <v>1131</v>
      </c>
      <c r="D16" s="2" t="s">
        <v>796</v>
      </c>
      <c r="E16" t="s">
        <v>9</v>
      </c>
      <c r="F16" t="s">
        <v>12</v>
      </c>
      <c r="G16" t="s">
        <v>14</v>
      </c>
    </row>
    <row r="17" spans="2:7" ht="12.75">
      <c r="B17" t="s">
        <v>15</v>
      </c>
      <c r="C17" t="s">
        <v>485</v>
      </c>
      <c r="D17" s="2" t="s">
        <v>796</v>
      </c>
      <c r="E17" t="s">
        <v>9</v>
      </c>
      <c r="F17" t="s">
        <v>12</v>
      </c>
      <c r="G17" t="s">
        <v>14</v>
      </c>
    </row>
    <row r="18" spans="2:7" ht="12.75">
      <c r="B18" t="s">
        <v>35</v>
      </c>
      <c r="C18" s="2" t="s">
        <v>157</v>
      </c>
      <c r="D18" s="2" t="s">
        <v>796</v>
      </c>
      <c r="E18" t="s">
        <v>9</v>
      </c>
      <c r="F18" t="s">
        <v>12</v>
      </c>
      <c r="G18" t="s">
        <v>14</v>
      </c>
    </row>
    <row r="19" ht="12.75">
      <c r="C19" s="2" t="s">
        <v>1132</v>
      </c>
    </row>
    <row r="21" spans="3:9" ht="12.75">
      <c r="C21" s="2" t="s">
        <v>1133</v>
      </c>
      <c r="D21" t="s">
        <v>5</v>
      </c>
      <c r="E21" t="s">
        <v>8</v>
      </c>
      <c r="F21" t="s">
        <v>12</v>
      </c>
      <c r="G21" t="s">
        <v>14</v>
      </c>
      <c r="H21" t="str">
        <f>Report!H114</f>
        <v>7SC42</v>
      </c>
      <c r="I21" t="str">
        <f>Report!I114</f>
        <v>22AQ18</v>
      </c>
    </row>
    <row r="22" spans="2:7" ht="12.75">
      <c r="B22" s="2" t="s">
        <v>799</v>
      </c>
      <c r="C22" s="2" t="s">
        <v>1134</v>
      </c>
      <c r="D22" t="s">
        <v>5</v>
      </c>
      <c r="E22" t="s">
        <v>8</v>
      </c>
      <c r="F22" t="s">
        <v>12</v>
      </c>
      <c r="G22" t="s">
        <v>14</v>
      </c>
    </row>
    <row r="23" spans="2:7" ht="12.75">
      <c r="B23" t="s">
        <v>284</v>
      </c>
      <c r="C23" t="s">
        <v>289</v>
      </c>
      <c r="D23" t="s">
        <v>5</v>
      </c>
      <c r="E23" t="s">
        <v>8</v>
      </c>
      <c r="F23" t="s">
        <v>12</v>
      </c>
      <c r="G23" t="s">
        <v>14</v>
      </c>
    </row>
    <row r="24" spans="2:7" ht="12.75">
      <c r="B24" t="s">
        <v>15</v>
      </c>
      <c r="C24" t="s">
        <v>290</v>
      </c>
      <c r="D24" t="s">
        <v>5</v>
      </c>
      <c r="E24" t="s">
        <v>8</v>
      </c>
      <c r="F24" t="s">
        <v>12</v>
      </c>
      <c r="G24" t="s">
        <v>14</v>
      </c>
    </row>
    <row r="25" spans="2:7" ht="12.75">
      <c r="B25" t="s">
        <v>35</v>
      </c>
      <c r="C25" t="s">
        <v>222</v>
      </c>
      <c r="D25" t="s">
        <v>5</v>
      </c>
      <c r="E25" t="s">
        <v>8</v>
      </c>
      <c r="F25" t="s">
        <v>12</v>
      </c>
      <c r="G25" t="s">
        <v>14</v>
      </c>
    </row>
    <row r="27" spans="3:9" ht="12.75">
      <c r="C27" s="2" t="s">
        <v>1139</v>
      </c>
      <c r="D27" s="2" t="s">
        <v>8</v>
      </c>
      <c r="E27" s="2" t="s">
        <v>50</v>
      </c>
      <c r="F27" s="2" t="s">
        <v>12</v>
      </c>
      <c r="G27" s="2" t="s">
        <v>13</v>
      </c>
      <c r="H27" t="str">
        <f>Report!H115</f>
        <v>14AQ40</v>
      </c>
      <c r="I27" t="str">
        <f>Report!I115</f>
        <v>15SC20</v>
      </c>
    </row>
    <row r="28" spans="2:7" ht="12.75">
      <c r="B28" s="2" t="s">
        <v>799</v>
      </c>
      <c r="C28" s="2" t="s">
        <v>1140</v>
      </c>
      <c r="D28" s="2" t="s">
        <v>8</v>
      </c>
      <c r="E28" s="2" t="s">
        <v>50</v>
      </c>
      <c r="F28" s="2" t="s">
        <v>12</v>
      </c>
      <c r="G28" s="2" t="s">
        <v>13</v>
      </c>
    </row>
    <row r="30" spans="3:9" ht="12.75">
      <c r="C30" t="s">
        <v>224</v>
      </c>
      <c r="D30" t="s">
        <v>371</v>
      </c>
      <c r="E30" t="s">
        <v>8</v>
      </c>
      <c r="F30" t="s">
        <v>12</v>
      </c>
      <c r="G30" t="s">
        <v>14</v>
      </c>
      <c r="H30" t="str">
        <f>Report!H70</f>
        <v>26AQ37</v>
      </c>
      <c r="I30" t="str">
        <f>Report!I70</f>
        <v>3SC23</v>
      </c>
    </row>
    <row r="31" spans="2:7" ht="12.75">
      <c r="B31" t="s">
        <v>284</v>
      </c>
      <c r="C31" t="s">
        <v>291</v>
      </c>
      <c r="D31" t="s">
        <v>371</v>
      </c>
      <c r="E31" t="s">
        <v>8</v>
      </c>
      <c r="F31" t="s">
        <v>12</v>
      </c>
      <c r="G31" t="s">
        <v>14</v>
      </c>
    </row>
    <row r="32" spans="2:7" ht="12.75">
      <c r="B32" t="s">
        <v>15</v>
      </c>
      <c r="C32" t="s">
        <v>292</v>
      </c>
      <c r="D32" t="s">
        <v>371</v>
      </c>
      <c r="E32" t="s">
        <v>8</v>
      </c>
      <c r="F32" t="s">
        <v>12</v>
      </c>
      <c r="G32" t="s">
        <v>14</v>
      </c>
    </row>
    <row r="33" spans="2:7" ht="12.75">
      <c r="B33" t="s">
        <v>35</v>
      </c>
      <c r="C33" t="s">
        <v>223</v>
      </c>
      <c r="D33" t="s">
        <v>371</v>
      </c>
      <c r="E33" t="s">
        <v>8</v>
      </c>
      <c r="F33" t="s">
        <v>12</v>
      </c>
      <c r="G33" t="s">
        <v>14</v>
      </c>
    </row>
    <row r="35" spans="3:9" ht="12.75">
      <c r="C35" t="s">
        <v>226</v>
      </c>
      <c r="D35" t="s">
        <v>50</v>
      </c>
      <c r="E35" s="2" t="s">
        <v>797</v>
      </c>
      <c r="F35" t="s">
        <v>12</v>
      </c>
      <c r="G35" t="s">
        <v>14</v>
      </c>
      <c r="H35" t="str">
        <f>Report!H117</f>
        <v>8AR14</v>
      </c>
      <c r="I35" t="str">
        <f>Report!I117</f>
        <v>21VI46</v>
      </c>
    </row>
    <row r="36" spans="2:7" ht="12.75">
      <c r="B36" t="s">
        <v>284</v>
      </c>
      <c r="C36" t="s">
        <v>293</v>
      </c>
      <c r="D36" t="s">
        <v>50</v>
      </c>
      <c r="E36" s="2" t="s">
        <v>797</v>
      </c>
      <c r="F36" t="s">
        <v>12</v>
      </c>
      <c r="G36" t="s">
        <v>14</v>
      </c>
    </row>
    <row r="37" spans="2:7" ht="12.75">
      <c r="B37" t="s">
        <v>15</v>
      </c>
      <c r="C37" t="s">
        <v>294</v>
      </c>
      <c r="D37" t="s">
        <v>50</v>
      </c>
      <c r="E37" s="2" t="s">
        <v>797</v>
      </c>
      <c r="F37" t="s">
        <v>12</v>
      </c>
      <c r="G37" t="s">
        <v>14</v>
      </c>
    </row>
    <row r="38" spans="2:7" ht="12.75">
      <c r="B38" t="s">
        <v>35</v>
      </c>
      <c r="C38" t="s">
        <v>225</v>
      </c>
      <c r="D38" t="s">
        <v>50</v>
      </c>
      <c r="E38" s="2" t="s">
        <v>797</v>
      </c>
      <c r="F38" t="s">
        <v>12</v>
      </c>
      <c r="G38" t="s">
        <v>14</v>
      </c>
    </row>
    <row r="40" spans="3:9" ht="12.75">
      <c r="C40" t="s">
        <v>487</v>
      </c>
      <c r="D40" t="s">
        <v>5</v>
      </c>
      <c r="E40" t="s">
        <v>9</v>
      </c>
      <c r="F40" t="s">
        <v>50</v>
      </c>
      <c r="G40" t="s">
        <v>13</v>
      </c>
      <c r="H40" t="str">
        <f>Report!H118</f>
        <v>2AQ26</v>
      </c>
      <c r="I40" t="str">
        <f>Report!I118</f>
        <v>27SC34</v>
      </c>
    </row>
    <row r="41" spans="2:7" ht="12.75">
      <c r="B41" t="s">
        <v>284</v>
      </c>
      <c r="C41" t="s">
        <v>295</v>
      </c>
      <c r="D41" t="s">
        <v>5</v>
      </c>
      <c r="E41" t="s">
        <v>9</v>
      </c>
      <c r="F41" s="4" t="s">
        <v>12</v>
      </c>
      <c r="G41" t="s">
        <v>13</v>
      </c>
    </row>
    <row r="42" spans="2:7" ht="12.75">
      <c r="B42" t="s">
        <v>15</v>
      </c>
      <c r="C42" t="s">
        <v>296</v>
      </c>
      <c r="D42" t="s">
        <v>5</v>
      </c>
      <c r="E42" t="s">
        <v>9</v>
      </c>
      <c r="F42" t="s">
        <v>50</v>
      </c>
      <c r="G42" t="s">
        <v>13</v>
      </c>
    </row>
    <row r="43" spans="2:7" ht="12.75">
      <c r="B43" t="s">
        <v>35</v>
      </c>
      <c r="C43" t="s">
        <v>227</v>
      </c>
      <c r="D43" t="s">
        <v>5</v>
      </c>
      <c r="E43" t="s">
        <v>9</v>
      </c>
      <c r="F43" t="s">
        <v>50</v>
      </c>
      <c r="G43" t="s">
        <v>13</v>
      </c>
    </row>
    <row r="45" spans="3:9" ht="12.75">
      <c r="C45" t="s">
        <v>488</v>
      </c>
      <c r="D45" t="s">
        <v>9</v>
      </c>
      <c r="E45" t="s">
        <v>63</v>
      </c>
      <c r="F45" t="s">
        <v>12</v>
      </c>
      <c r="G45" t="s">
        <v>13</v>
      </c>
      <c r="H45" t="str">
        <f>Report!H119</f>
        <v>15TA34</v>
      </c>
      <c r="I45" t="str">
        <f>Report!I119</f>
        <v>14LE26</v>
      </c>
    </row>
    <row r="46" spans="2:7" ht="12.75">
      <c r="B46" t="s">
        <v>284</v>
      </c>
      <c r="C46" t="s">
        <v>297</v>
      </c>
      <c r="D46" t="s">
        <v>9</v>
      </c>
      <c r="E46" t="s">
        <v>63</v>
      </c>
      <c r="F46" t="s">
        <v>12</v>
      </c>
      <c r="G46" t="s">
        <v>13</v>
      </c>
    </row>
    <row r="47" spans="2:7" ht="12.75">
      <c r="B47" t="s">
        <v>15</v>
      </c>
      <c r="C47" t="s">
        <v>298</v>
      </c>
      <c r="D47" t="s">
        <v>9</v>
      </c>
      <c r="E47" t="s">
        <v>63</v>
      </c>
      <c r="F47" t="s">
        <v>12</v>
      </c>
      <c r="G47" t="s">
        <v>13</v>
      </c>
    </row>
    <row r="48" spans="2:7" ht="12.75">
      <c r="B48" t="s">
        <v>35</v>
      </c>
      <c r="C48" t="s">
        <v>228</v>
      </c>
      <c r="D48" t="s">
        <v>9</v>
      </c>
      <c r="E48" t="s">
        <v>63</v>
      </c>
      <c r="F48" t="s">
        <v>12</v>
      </c>
      <c r="G48" t="s">
        <v>13</v>
      </c>
    </row>
    <row r="49" spans="2:7" ht="12.75">
      <c r="B49" t="s">
        <v>35</v>
      </c>
      <c r="C49" t="s">
        <v>228</v>
      </c>
      <c r="D49" s="2" t="s">
        <v>1144</v>
      </c>
      <c r="E49" t="s">
        <v>50</v>
      </c>
      <c r="F49" t="s">
        <v>12</v>
      </c>
      <c r="G49" t="s">
        <v>13</v>
      </c>
    </row>
    <row r="51" spans="3:9" ht="12.75">
      <c r="C51" t="s">
        <v>231</v>
      </c>
      <c r="D51" t="s">
        <v>9</v>
      </c>
      <c r="E51" t="s">
        <v>6</v>
      </c>
      <c r="F51" t="s">
        <v>12</v>
      </c>
      <c r="G51" t="s">
        <v>14</v>
      </c>
      <c r="H51" t="str">
        <f>Report!H120</f>
        <v>1VI54</v>
      </c>
      <c r="I51" t="str">
        <f>Report!I120</f>
        <v>28AR6</v>
      </c>
    </row>
    <row r="52" spans="2:7" ht="12.75">
      <c r="B52" t="s">
        <v>284</v>
      </c>
      <c r="C52" t="s">
        <v>299</v>
      </c>
      <c r="D52" t="s">
        <v>9</v>
      </c>
      <c r="E52" t="s">
        <v>6</v>
      </c>
      <c r="F52" t="s">
        <v>12</v>
      </c>
      <c r="G52" t="s">
        <v>14</v>
      </c>
    </row>
    <row r="53" spans="2:7" ht="12.75">
      <c r="B53" t="s">
        <v>15</v>
      </c>
      <c r="C53" t="s">
        <v>300</v>
      </c>
      <c r="D53" t="s">
        <v>9</v>
      </c>
      <c r="E53" t="s">
        <v>6</v>
      </c>
      <c r="F53" t="s">
        <v>12</v>
      </c>
      <c r="G53" t="s">
        <v>14</v>
      </c>
    </row>
    <row r="54" spans="2:7" ht="12.75">
      <c r="B54" t="s">
        <v>35</v>
      </c>
      <c r="C54" t="s">
        <v>230</v>
      </c>
      <c r="D54" t="s">
        <v>9</v>
      </c>
      <c r="E54" t="s">
        <v>6</v>
      </c>
      <c r="F54" t="s">
        <v>12</v>
      </c>
      <c r="G54" t="s">
        <v>14</v>
      </c>
    </row>
    <row r="56" spans="3:9" ht="12.75">
      <c r="C56" t="s">
        <v>483</v>
      </c>
      <c r="D56" t="s">
        <v>50</v>
      </c>
      <c r="E56" t="s">
        <v>9</v>
      </c>
      <c r="F56" t="s">
        <v>12</v>
      </c>
      <c r="G56" t="s">
        <v>14</v>
      </c>
      <c r="H56" t="str">
        <f>Report!H23</f>
        <v>14TA23</v>
      </c>
      <c r="I56" t="str">
        <f>Report!I23</f>
        <v>15LE37</v>
      </c>
    </row>
    <row r="57" spans="2:7" ht="12.75">
      <c r="B57" t="s">
        <v>760</v>
      </c>
      <c r="C57" t="s">
        <v>301</v>
      </c>
      <c r="D57" t="s">
        <v>50</v>
      </c>
      <c r="E57" t="s">
        <v>9</v>
      </c>
      <c r="F57" t="s">
        <v>12</v>
      </c>
      <c r="G57" t="s">
        <v>14</v>
      </c>
    </row>
    <row r="58" spans="2:7" ht="12.75">
      <c r="B58" t="s">
        <v>15</v>
      </c>
      <c r="C58" t="s">
        <v>302</v>
      </c>
      <c r="D58" t="s">
        <v>50</v>
      </c>
      <c r="E58" t="s">
        <v>9</v>
      </c>
      <c r="F58" t="s">
        <v>12</v>
      </c>
      <c r="G58" t="s">
        <v>14</v>
      </c>
    </row>
    <row r="59" spans="2:7" ht="12.75">
      <c r="B59" t="s">
        <v>35</v>
      </c>
      <c r="C59" t="s">
        <v>232</v>
      </c>
      <c r="D59" t="s">
        <v>50</v>
      </c>
      <c r="E59" t="s">
        <v>9</v>
      </c>
      <c r="F59" t="s">
        <v>12</v>
      </c>
      <c r="G59" t="s">
        <v>14</v>
      </c>
    </row>
    <row r="61" ht="12.75">
      <c r="C61" s="6" t="s">
        <v>1142</v>
      </c>
    </row>
    <row r="63" spans="2:7" ht="12.75">
      <c r="B63" t="s">
        <v>284</v>
      </c>
      <c r="C63" s="2" t="s">
        <v>484</v>
      </c>
      <c r="D63" s="2" t="s">
        <v>796</v>
      </c>
      <c r="E63" t="s">
        <v>50</v>
      </c>
      <c r="F63" t="s">
        <v>12</v>
      </c>
      <c r="G63" t="s">
        <v>13</v>
      </c>
    </row>
    <row r="64" ht="12.75">
      <c r="C64" s="2"/>
    </row>
    <row r="65" spans="2:7" ht="12.75">
      <c r="B65" s="2" t="s">
        <v>799</v>
      </c>
      <c r="C65" s="2" t="s">
        <v>1141</v>
      </c>
      <c r="D65" s="2" t="s">
        <v>8</v>
      </c>
      <c r="E65" s="2" t="s">
        <v>7</v>
      </c>
      <c r="F65" s="2" t="s">
        <v>6</v>
      </c>
      <c r="G65" s="2" t="s">
        <v>14</v>
      </c>
    </row>
    <row r="66" ht="12.75">
      <c r="C66" s="2" t="s">
        <v>1143</v>
      </c>
    </row>
    <row r="70" ht="12.75">
      <c r="C70" s="2"/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75"/>
  <sheetViews>
    <sheetView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13.28125" style="2" bestFit="1" customWidth="1"/>
    <col min="2" max="2" width="48.28125" style="2" customWidth="1"/>
    <col min="3" max="16384" width="9.140625" style="2" customWidth="1"/>
  </cols>
  <sheetData>
    <row r="2" ht="12.75">
      <c r="B2" s="6" t="s">
        <v>759</v>
      </c>
    </row>
    <row r="4" spans="1:6" ht="12.75">
      <c r="A4" s="2" t="s">
        <v>410</v>
      </c>
      <c r="B4" s="2" t="s">
        <v>412</v>
      </c>
      <c r="C4" s="2" t="s">
        <v>6</v>
      </c>
      <c r="D4" s="2" t="s">
        <v>8</v>
      </c>
      <c r="E4" s="2" t="s">
        <v>12</v>
      </c>
      <c r="F4" s="2" t="s">
        <v>14</v>
      </c>
    </row>
    <row r="5" s="5" customFormat="1" ht="12.75">
      <c r="B5" s="5" t="s">
        <v>234</v>
      </c>
    </row>
    <row r="6" s="5" customFormat="1" ht="12.75">
      <c r="B6" s="5" t="s">
        <v>235</v>
      </c>
    </row>
    <row r="8" spans="1:6" ht="12.75">
      <c r="A8" s="2" t="s">
        <v>410</v>
      </c>
      <c r="B8" s="2" t="s">
        <v>413</v>
      </c>
      <c r="C8" s="2" t="s">
        <v>8</v>
      </c>
      <c r="D8" s="2" t="s">
        <v>6</v>
      </c>
      <c r="E8" s="2" t="s">
        <v>12</v>
      </c>
      <c r="F8" s="2" t="s">
        <v>14</v>
      </c>
    </row>
    <row r="9" s="5" customFormat="1" ht="12.75">
      <c r="B9" s="5" t="s">
        <v>236</v>
      </c>
    </row>
    <row r="10" s="5" customFormat="1" ht="12.75">
      <c r="B10" s="5" t="s">
        <v>237</v>
      </c>
    </row>
    <row r="12" spans="1:6" ht="12.75">
      <c r="A12" s="2" t="s">
        <v>410</v>
      </c>
      <c r="B12" s="2" t="s">
        <v>414</v>
      </c>
      <c r="C12" s="2" t="s">
        <v>411</v>
      </c>
      <c r="D12" s="2" t="s">
        <v>7</v>
      </c>
      <c r="E12" s="2" t="s">
        <v>12</v>
      </c>
      <c r="F12" s="2" t="s">
        <v>14</v>
      </c>
    </row>
    <row r="13" s="5" customFormat="1" ht="12.75">
      <c r="B13" s="5" t="s">
        <v>240</v>
      </c>
    </row>
    <row r="14" s="5" customFormat="1" ht="12.75">
      <c r="B14" s="5" t="s">
        <v>241</v>
      </c>
    </row>
    <row r="16" spans="1:6" ht="12.75">
      <c r="A16" s="2" t="s">
        <v>410</v>
      </c>
      <c r="B16" s="2" t="s">
        <v>426</v>
      </c>
      <c r="C16" s="2" t="s">
        <v>50</v>
      </c>
      <c r="D16" s="2" t="s">
        <v>415</v>
      </c>
      <c r="E16" s="2" t="s">
        <v>12</v>
      </c>
      <c r="F16" s="2" t="s">
        <v>14</v>
      </c>
    </row>
    <row r="17" s="5" customFormat="1" ht="12.75">
      <c r="B17" s="5" t="s">
        <v>238</v>
      </c>
    </row>
    <row r="18" s="5" customFormat="1" ht="12.75">
      <c r="B18" s="5" t="s">
        <v>239</v>
      </c>
    </row>
    <row r="20" spans="1:6" ht="12.75">
      <c r="A20" s="2" t="s">
        <v>410</v>
      </c>
      <c r="B20" s="2" t="s">
        <v>427</v>
      </c>
      <c r="C20" s="2" t="s">
        <v>9</v>
      </c>
      <c r="D20" s="2" t="s">
        <v>415</v>
      </c>
      <c r="E20" s="2" t="s">
        <v>12</v>
      </c>
      <c r="F20" s="2" t="s">
        <v>14</v>
      </c>
    </row>
    <row r="21" s="5" customFormat="1" ht="12.75">
      <c r="B21" s="5" t="s">
        <v>242</v>
      </c>
    </row>
    <row r="23" spans="1:6" ht="12.75">
      <c r="A23" s="2" t="s">
        <v>410</v>
      </c>
      <c r="B23" s="2" t="s">
        <v>428</v>
      </c>
      <c r="C23" s="2" t="s">
        <v>411</v>
      </c>
      <c r="D23" s="2" t="s">
        <v>10</v>
      </c>
      <c r="E23" s="2" t="s">
        <v>12</v>
      </c>
      <c r="F23" s="2" t="s">
        <v>14</v>
      </c>
    </row>
    <row r="24" s="5" customFormat="1" ht="12.75">
      <c r="B24" s="5" t="s">
        <v>243</v>
      </c>
    </row>
    <row r="25" s="5" customFormat="1" ht="12.75">
      <c r="B25" s="5" t="s">
        <v>244</v>
      </c>
    </row>
    <row r="27" spans="1:6" ht="12.75">
      <c r="A27" s="2" t="s">
        <v>410</v>
      </c>
      <c r="B27" s="2" t="s">
        <v>429</v>
      </c>
      <c r="C27" s="2" t="s">
        <v>5</v>
      </c>
      <c r="D27" s="2" t="s">
        <v>415</v>
      </c>
      <c r="E27" s="2" t="s">
        <v>12</v>
      </c>
      <c r="F27" s="2" t="s">
        <v>14</v>
      </c>
    </row>
    <row r="28" s="5" customFormat="1" ht="12.75">
      <c r="B28" s="5" t="s">
        <v>245</v>
      </c>
    </row>
    <row r="29" s="5" customFormat="1" ht="12.75">
      <c r="B29" s="5" t="s">
        <v>246</v>
      </c>
    </row>
    <row r="31" spans="1:6" ht="12.75">
      <c r="A31" s="2" t="s">
        <v>410</v>
      </c>
      <c r="B31" s="2" t="s">
        <v>435</v>
      </c>
      <c r="C31" s="2" t="s">
        <v>6</v>
      </c>
      <c r="D31" s="2" t="s">
        <v>5</v>
      </c>
      <c r="E31" s="2" t="s">
        <v>12</v>
      </c>
      <c r="F31" s="2" t="s">
        <v>14</v>
      </c>
    </row>
    <row r="32" spans="1:6" ht="12.75">
      <c r="A32" s="2" t="s">
        <v>410</v>
      </c>
      <c r="B32" s="2" t="s">
        <v>430</v>
      </c>
      <c r="C32" s="2" t="s">
        <v>7</v>
      </c>
      <c r="D32" s="2" t="s">
        <v>8</v>
      </c>
      <c r="E32" s="2" t="s">
        <v>12</v>
      </c>
      <c r="F32" s="2" t="s">
        <v>14</v>
      </c>
    </row>
    <row r="33" spans="1:6" ht="12.75">
      <c r="A33" s="2" t="s">
        <v>410</v>
      </c>
      <c r="B33" s="2" t="s">
        <v>397</v>
      </c>
      <c r="C33" s="2" t="s">
        <v>5</v>
      </c>
      <c r="D33" s="2" t="s">
        <v>10</v>
      </c>
      <c r="E33" s="2" t="s">
        <v>12</v>
      </c>
      <c r="F33" s="2" t="s">
        <v>323</v>
      </c>
    </row>
    <row r="34" spans="1:6" ht="12.75">
      <c r="A34" s="2" t="s">
        <v>410</v>
      </c>
      <c r="B34" s="2" t="s">
        <v>431</v>
      </c>
      <c r="C34" s="2" t="s">
        <v>10</v>
      </c>
      <c r="D34" s="2" t="s">
        <v>5</v>
      </c>
      <c r="E34" s="2" t="s">
        <v>12</v>
      </c>
      <c r="F34" s="2" t="s">
        <v>323</v>
      </c>
    </row>
    <row r="35" spans="1:6" ht="12.75">
      <c r="A35" s="2" t="s">
        <v>410</v>
      </c>
      <c r="B35" s="2" t="s">
        <v>432</v>
      </c>
      <c r="C35" s="2" t="s">
        <v>5</v>
      </c>
      <c r="D35" s="2" t="s">
        <v>7</v>
      </c>
      <c r="E35" s="2" t="s">
        <v>12</v>
      </c>
      <c r="F35" s="2" t="s">
        <v>323</v>
      </c>
    </row>
    <row r="36" spans="1:6" ht="12.75">
      <c r="A36" s="2" t="s">
        <v>410</v>
      </c>
      <c r="B36" s="2" t="s">
        <v>433</v>
      </c>
      <c r="C36" s="2" t="s">
        <v>7</v>
      </c>
      <c r="D36" s="2" t="s">
        <v>5</v>
      </c>
      <c r="E36" s="2" t="s">
        <v>12</v>
      </c>
      <c r="F36" s="2" t="s">
        <v>323</v>
      </c>
    </row>
    <row r="38" spans="1:2" ht="12.75">
      <c r="A38" s="2" t="s">
        <v>434</v>
      </c>
      <c r="B38" s="2" t="s">
        <v>758</v>
      </c>
    </row>
    <row r="39" spans="1:4" ht="12.75">
      <c r="A39" s="2" t="s">
        <v>434</v>
      </c>
      <c r="B39" s="2" t="s">
        <v>436</v>
      </c>
      <c r="C39" s="2" t="s">
        <v>6</v>
      </c>
      <c r="D39" s="2" t="s">
        <v>9</v>
      </c>
    </row>
    <row r="40" spans="1:4" ht="12.75">
      <c r="A40" s="2" t="s">
        <v>434</v>
      </c>
      <c r="B40" s="2" t="s">
        <v>437</v>
      </c>
      <c r="C40" s="2" t="s">
        <v>9</v>
      </c>
      <c r="D40" s="2" t="s">
        <v>6</v>
      </c>
    </row>
    <row r="41" spans="1:4" ht="12.75">
      <c r="A41" s="2" t="s">
        <v>434</v>
      </c>
      <c r="B41" s="2" t="s">
        <v>438</v>
      </c>
      <c r="C41" s="2" t="s">
        <v>5</v>
      </c>
      <c r="D41" s="2" t="s">
        <v>10</v>
      </c>
    </row>
    <row r="42" spans="1:4" ht="12.75">
      <c r="A42" s="2" t="s">
        <v>434</v>
      </c>
      <c r="B42" s="2" t="s">
        <v>439</v>
      </c>
      <c r="C42" s="2" t="s">
        <v>9</v>
      </c>
      <c r="D42" s="2" t="s">
        <v>10</v>
      </c>
    </row>
    <row r="43" spans="1:4" ht="12.75">
      <c r="A43" s="2" t="s">
        <v>434</v>
      </c>
      <c r="B43" s="2" t="s">
        <v>440</v>
      </c>
      <c r="C43" s="2" t="s">
        <v>50</v>
      </c>
      <c r="D43" s="2" t="s">
        <v>9</v>
      </c>
    </row>
    <row r="44" spans="1:4" ht="12.75">
      <c r="A44" s="2" t="s">
        <v>434</v>
      </c>
      <c r="B44" s="2" t="s">
        <v>58</v>
      </c>
      <c r="C44" s="2" t="s">
        <v>10</v>
      </c>
      <c r="D44" s="2" t="s">
        <v>7</v>
      </c>
    </row>
    <row r="45" spans="1:4" ht="12.75">
      <c r="A45" s="2" t="s">
        <v>434</v>
      </c>
      <c r="B45" s="2" t="s">
        <v>441</v>
      </c>
      <c r="C45" s="2" t="s">
        <v>5</v>
      </c>
      <c r="D45" s="2" t="s">
        <v>7</v>
      </c>
    </row>
    <row r="46" spans="1:4" ht="12.75">
      <c r="A46" s="2" t="s">
        <v>434</v>
      </c>
      <c r="B46" s="2" t="s">
        <v>442</v>
      </c>
      <c r="C46" s="2" t="s">
        <v>50</v>
      </c>
      <c r="D46" s="2" t="s">
        <v>7</v>
      </c>
    </row>
    <row r="47" spans="1:4" ht="12.75">
      <c r="A47" s="2" t="s">
        <v>434</v>
      </c>
      <c r="B47" s="2" t="s">
        <v>443</v>
      </c>
      <c r="C47" s="2" t="s">
        <v>50</v>
      </c>
      <c r="D47" s="2" t="s">
        <v>5</v>
      </c>
    </row>
    <row r="48" spans="1:4" ht="12.75">
      <c r="A48" s="2" t="s">
        <v>434</v>
      </c>
      <c r="B48" s="2" t="s">
        <v>444</v>
      </c>
      <c r="C48" s="2" t="s">
        <v>7</v>
      </c>
      <c r="D48" s="2" t="s">
        <v>9</v>
      </c>
    </row>
    <row r="49" spans="1:4" ht="12.75">
      <c r="A49" s="2" t="s">
        <v>434</v>
      </c>
      <c r="B49" s="2" t="s">
        <v>446</v>
      </c>
      <c r="C49" s="2" t="s">
        <v>50</v>
      </c>
      <c r="D49" s="2" t="s">
        <v>8</v>
      </c>
    </row>
    <row r="50" spans="1:4" ht="12.75">
      <c r="A50" s="2" t="s">
        <v>434</v>
      </c>
      <c r="B50" s="2" t="s">
        <v>445</v>
      </c>
      <c r="C50" s="2" t="s">
        <v>10</v>
      </c>
      <c r="D50" s="2" t="s">
        <v>7</v>
      </c>
    </row>
    <row r="51" spans="1:4" ht="12.75">
      <c r="A51" s="2" t="s">
        <v>434</v>
      </c>
      <c r="B51" s="2" t="s">
        <v>447</v>
      </c>
      <c r="C51" s="2" t="s">
        <v>7</v>
      </c>
      <c r="D51" s="2" t="s">
        <v>9</v>
      </c>
    </row>
    <row r="52" spans="1:4" ht="12.75">
      <c r="A52" s="2" t="s">
        <v>434</v>
      </c>
      <c r="B52" s="2" t="s">
        <v>448</v>
      </c>
      <c r="C52" s="2" t="s">
        <v>7</v>
      </c>
      <c r="D52" s="2" t="s">
        <v>50</v>
      </c>
    </row>
    <row r="53" spans="1:4" ht="12.75">
      <c r="A53" s="2" t="s">
        <v>434</v>
      </c>
      <c r="B53" s="2" t="s">
        <v>449</v>
      </c>
      <c r="C53" s="2" t="s">
        <v>6</v>
      </c>
      <c r="D53" s="2" t="s">
        <v>8</v>
      </c>
    </row>
    <row r="54" spans="1:4" ht="12.75">
      <c r="A54" s="2" t="s">
        <v>434</v>
      </c>
      <c r="B54" s="2" t="s">
        <v>450</v>
      </c>
      <c r="C54" s="2" t="s">
        <v>5</v>
      </c>
      <c r="D54" s="2" t="s">
        <v>50</v>
      </c>
    </row>
    <row r="55" spans="1:4" ht="12.75">
      <c r="A55" s="2" t="s">
        <v>434</v>
      </c>
      <c r="B55" s="2" t="s">
        <v>451</v>
      </c>
      <c r="C55" s="2" t="s">
        <v>9</v>
      </c>
      <c r="D55" s="2" t="s">
        <v>8</v>
      </c>
    </row>
    <row r="56" spans="1:4" ht="12.75">
      <c r="A56" s="2" t="s">
        <v>434</v>
      </c>
      <c r="B56" s="2" t="s">
        <v>452</v>
      </c>
      <c r="C56" s="2" t="s">
        <v>50</v>
      </c>
      <c r="D56" s="2" t="s">
        <v>7</v>
      </c>
    </row>
    <row r="57" spans="1:4" ht="12.75">
      <c r="A57" s="2" t="s">
        <v>434</v>
      </c>
      <c r="B57" s="2" t="s">
        <v>370</v>
      </c>
      <c r="C57" s="2" t="s">
        <v>5</v>
      </c>
      <c r="D57" s="2" t="s">
        <v>8</v>
      </c>
    </row>
    <row r="58" spans="1:4" ht="12.75">
      <c r="A58" s="2" t="s">
        <v>434</v>
      </c>
      <c r="B58" s="2" t="s">
        <v>453</v>
      </c>
      <c r="C58" s="2" t="s">
        <v>5</v>
      </c>
      <c r="D58" s="2" t="s">
        <v>50</v>
      </c>
    </row>
    <row r="59" spans="1:4" ht="12.75">
      <c r="A59" s="2" t="s">
        <v>434</v>
      </c>
      <c r="B59" s="2" t="s">
        <v>454</v>
      </c>
      <c r="C59" s="2" t="s">
        <v>10</v>
      </c>
      <c r="D59" s="2" t="s">
        <v>9</v>
      </c>
    </row>
    <row r="60" spans="1:4" ht="12.75">
      <c r="A60" s="2" t="s">
        <v>434</v>
      </c>
      <c r="B60" s="2" t="s">
        <v>455</v>
      </c>
      <c r="C60" s="2" t="s">
        <v>9</v>
      </c>
      <c r="D60" s="2" t="s">
        <v>8</v>
      </c>
    </row>
    <row r="61" spans="1:4" ht="12.75">
      <c r="A61" s="2" t="s">
        <v>434</v>
      </c>
      <c r="B61" s="2" t="s">
        <v>456</v>
      </c>
      <c r="C61" s="2" t="s">
        <v>9</v>
      </c>
      <c r="D61" s="2" t="s">
        <v>5</v>
      </c>
    </row>
    <row r="62" spans="1:4" ht="12.75">
      <c r="A62" s="2" t="s">
        <v>434</v>
      </c>
      <c r="B62" s="2" t="s">
        <v>457</v>
      </c>
      <c r="C62" s="2" t="s">
        <v>7</v>
      </c>
      <c r="D62" s="2" t="s">
        <v>5</v>
      </c>
    </row>
    <row r="63" spans="1:4" ht="12.75">
      <c r="A63" s="2" t="s">
        <v>434</v>
      </c>
      <c r="B63" s="2" t="s">
        <v>386</v>
      </c>
      <c r="C63" s="2" t="s">
        <v>8</v>
      </c>
      <c r="D63" s="2" t="s">
        <v>7</v>
      </c>
    </row>
    <row r="64" spans="1:4" ht="12.75">
      <c r="A64" s="2" t="s">
        <v>434</v>
      </c>
      <c r="B64" s="2" t="s">
        <v>458</v>
      </c>
      <c r="C64" s="2" t="s">
        <v>7</v>
      </c>
      <c r="D64" s="2" t="s">
        <v>50</v>
      </c>
    </row>
    <row r="65" spans="1:4" ht="12.75">
      <c r="A65" s="2" t="s">
        <v>434</v>
      </c>
      <c r="B65" s="2" t="s">
        <v>459</v>
      </c>
      <c r="C65" s="2" t="s">
        <v>5</v>
      </c>
      <c r="D65" s="2" t="s">
        <v>9</v>
      </c>
    </row>
    <row r="66" spans="1:4" ht="12.75">
      <c r="A66" s="2" t="s">
        <v>434</v>
      </c>
      <c r="B66" s="2" t="s">
        <v>460</v>
      </c>
      <c r="C66" s="2" t="s">
        <v>6</v>
      </c>
      <c r="D66" s="2" t="s">
        <v>9</v>
      </c>
    </row>
    <row r="67" spans="1:4" ht="12.75">
      <c r="A67" s="2" t="s">
        <v>434</v>
      </c>
      <c r="B67" s="2" t="s">
        <v>461</v>
      </c>
      <c r="C67" s="2" t="s">
        <v>5</v>
      </c>
      <c r="D67" s="2" t="s">
        <v>50</v>
      </c>
    </row>
    <row r="68" spans="1:4" ht="12.75">
      <c r="A68" s="2" t="s">
        <v>434</v>
      </c>
      <c r="B68" s="2" t="s">
        <v>463</v>
      </c>
      <c r="C68" s="2" t="s">
        <v>5</v>
      </c>
      <c r="D68" s="2" t="s">
        <v>10</v>
      </c>
    </row>
    <row r="69" spans="1:4" ht="12.75">
      <c r="A69" s="2" t="s">
        <v>434</v>
      </c>
      <c r="B69" s="2" t="s">
        <v>462</v>
      </c>
      <c r="C69" s="2" t="s">
        <v>5</v>
      </c>
      <c r="D69" s="2" t="s">
        <v>9</v>
      </c>
    </row>
    <row r="70" spans="1:4" ht="12.75">
      <c r="A70" s="2" t="s">
        <v>434</v>
      </c>
      <c r="B70" s="2" t="s">
        <v>464</v>
      </c>
      <c r="C70" s="2" t="s">
        <v>5</v>
      </c>
      <c r="D70" s="2" t="s">
        <v>6</v>
      </c>
    </row>
    <row r="71" spans="1:4" ht="12.75">
      <c r="A71" s="2" t="s">
        <v>434</v>
      </c>
      <c r="B71" s="2" t="s">
        <v>465</v>
      </c>
      <c r="C71" s="2" t="s">
        <v>5</v>
      </c>
      <c r="D71" s="2" t="s">
        <v>9</v>
      </c>
    </row>
    <row r="72" spans="1:4" ht="12.75">
      <c r="A72" s="2" t="s">
        <v>434</v>
      </c>
      <c r="B72" s="2" t="s">
        <v>446</v>
      </c>
      <c r="C72" s="2" t="s">
        <v>10</v>
      </c>
      <c r="D72" s="2" t="s">
        <v>7</v>
      </c>
    </row>
    <row r="73" ht="12.75">
      <c r="B73" s="3"/>
    </row>
    <row r="75" ht="12.75">
      <c r="B75" s="3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B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0.28125" style="2" bestFit="1" customWidth="1"/>
    <col min="2" max="2" width="45.140625" style="2" customWidth="1"/>
    <col min="3" max="6" width="9.140625" style="2" customWidth="1"/>
    <col min="7" max="7" width="61.28125" style="2" bestFit="1" customWidth="1"/>
    <col min="8" max="16384" width="9.140625" style="2" customWidth="1"/>
  </cols>
  <sheetData>
    <row r="1" ht="13.5" thickBot="1"/>
    <row r="2" spans="1:2" ht="14.25" thickBot="1" thickTop="1">
      <c r="A2" s="12" t="s">
        <v>756</v>
      </c>
      <c r="B2" s="6" t="s">
        <v>757</v>
      </c>
    </row>
    <row r="3" ht="13.5" thickTop="1"/>
    <row r="4" spans="1:2" ht="12.75">
      <c r="A4" s="2" t="s">
        <v>567</v>
      </c>
      <c r="B4" s="2" t="s">
        <v>568</v>
      </c>
    </row>
    <row r="5" spans="1:2" ht="12.75">
      <c r="A5" s="2" t="s">
        <v>567</v>
      </c>
      <c r="B5" s="2" t="s">
        <v>569</v>
      </c>
    </row>
    <row r="6" spans="1:2" ht="12.75">
      <c r="A6" s="2" t="s">
        <v>567</v>
      </c>
      <c r="B6" s="2" t="s">
        <v>570</v>
      </c>
    </row>
    <row r="7" spans="1:2" ht="12.75">
      <c r="A7" s="2" t="s">
        <v>567</v>
      </c>
      <c r="B7" s="2" t="s">
        <v>571</v>
      </c>
    </row>
    <row r="8" spans="1:2" ht="12.75">
      <c r="A8" s="2" t="s">
        <v>567</v>
      </c>
      <c r="B8" s="2" t="s">
        <v>572</v>
      </c>
    </row>
    <row r="9" spans="1:2" ht="12.75">
      <c r="A9" s="2" t="s">
        <v>567</v>
      </c>
      <c r="B9" s="2" t="s">
        <v>573</v>
      </c>
    </row>
    <row r="10" spans="1:2" ht="12.75">
      <c r="A10" s="2" t="s">
        <v>567</v>
      </c>
      <c r="B10" s="2" t="s">
        <v>574</v>
      </c>
    </row>
    <row r="11" spans="1:2" ht="12.75">
      <c r="A11" s="2" t="s">
        <v>567</v>
      </c>
      <c r="B11" s="2" t="s">
        <v>575</v>
      </c>
    </row>
    <row r="12" spans="1:2" ht="12.75">
      <c r="A12" s="2" t="s">
        <v>567</v>
      </c>
      <c r="B12" s="2" t="s">
        <v>576</v>
      </c>
    </row>
    <row r="13" spans="1:2" ht="12.75">
      <c r="A13" s="2" t="s">
        <v>567</v>
      </c>
      <c r="B13" s="2" t="s">
        <v>577</v>
      </c>
    </row>
    <row r="14" spans="1:2" ht="12.75">
      <c r="A14" s="2" t="s">
        <v>567</v>
      </c>
      <c r="B14" s="2" t="s">
        <v>578</v>
      </c>
    </row>
    <row r="15" spans="1:2" ht="12.75">
      <c r="A15" s="2" t="s">
        <v>567</v>
      </c>
      <c r="B15" s="2" t="s">
        <v>579</v>
      </c>
    </row>
    <row r="16" spans="1:2" ht="12.75">
      <c r="A16" s="2" t="s">
        <v>567</v>
      </c>
      <c r="B16" s="2" t="s">
        <v>580</v>
      </c>
    </row>
    <row r="17" spans="1:2" ht="12.75">
      <c r="A17" s="2" t="s">
        <v>567</v>
      </c>
      <c r="B17" s="2" t="s">
        <v>581</v>
      </c>
    </row>
    <row r="18" spans="1:2" ht="12.75">
      <c r="A18" s="2" t="s">
        <v>567</v>
      </c>
      <c r="B18" s="2" t="s">
        <v>582</v>
      </c>
    </row>
    <row r="19" spans="1:2" ht="12.75">
      <c r="A19" s="2" t="s">
        <v>567</v>
      </c>
      <c r="B19" s="2" t="s">
        <v>583</v>
      </c>
    </row>
    <row r="20" spans="1:2" ht="12.75">
      <c r="A20" s="2" t="s">
        <v>567</v>
      </c>
      <c r="B20" s="2" t="s">
        <v>584</v>
      </c>
    </row>
    <row r="21" spans="1:2" ht="12.75">
      <c r="A21" s="2" t="s">
        <v>567</v>
      </c>
      <c r="B21" s="2" t="s">
        <v>585</v>
      </c>
    </row>
    <row r="22" spans="1:2" ht="12.75">
      <c r="A22" s="2" t="s">
        <v>567</v>
      </c>
      <c r="B22" s="2" t="s">
        <v>586</v>
      </c>
    </row>
    <row r="60" ht="12.75">
      <c r="B60" s="3"/>
    </row>
    <row r="62" ht="12.75">
      <c r="B62" s="3"/>
    </row>
    <row r="67" ht="12.75">
      <c r="B67" s="3"/>
    </row>
    <row r="69" ht="12.75">
      <c r="B69" s="3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6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9.140625" style="2" customWidth="1"/>
    <col min="2" max="2" width="45.140625" style="2" customWidth="1"/>
    <col min="3" max="6" width="9.140625" style="2" customWidth="1"/>
    <col min="7" max="7" width="61.28125" style="2" bestFit="1" customWidth="1"/>
    <col min="8" max="16384" width="9.140625" style="2" customWidth="1"/>
  </cols>
  <sheetData>
    <row r="1" ht="13.5" thickBot="1"/>
    <row r="2" spans="1:2" ht="14.25" thickBot="1" thickTop="1">
      <c r="A2" s="12" t="s">
        <v>710</v>
      </c>
      <c r="B2" s="6" t="s">
        <v>709</v>
      </c>
    </row>
    <row r="3" ht="13.5" thickTop="1"/>
    <row r="4" spans="1:6" ht="12.75">
      <c r="A4" s="2" t="s">
        <v>510</v>
      </c>
      <c r="B4" s="2" t="s">
        <v>511</v>
      </c>
      <c r="C4" s="2" t="s">
        <v>6</v>
      </c>
      <c r="D4" s="2" t="s">
        <v>8</v>
      </c>
      <c r="E4" s="2" t="s">
        <v>12</v>
      </c>
      <c r="F4" s="2" t="s">
        <v>14</v>
      </c>
    </row>
    <row r="5" spans="1:6" ht="12.75">
      <c r="A5" s="2" t="s">
        <v>510</v>
      </c>
      <c r="B5" s="2" t="s">
        <v>512</v>
      </c>
      <c r="C5" s="2" t="s">
        <v>8</v>
      </c>
      <c r="D5" s="2" t="s">
        <v>6</v>
      </c>
      <c r="E5" s="2" t="s">
        <v>12</v>
      </c>
      <c r="F5" s="2" t="s">
        <v>14</v>
      </c>
    </row>
    <row r="6" spans="1:6" ht="12.75">
      <c r="A6" s="2" t="s">
        <v>510</v>
      </c>
      <c r="B6" s="2" t="s">
        <v>513</v>
      </c>
      <c r="C6" s="2" t="s">
        <v>6</v>
      </c>
      <c r="D6" s="2" t="s">
        <v>5</v>
      </c>
      <c r="E6" s="2" t="s">
        <v>12</v>
      </c>
      <c r="F6" s="2" t="s">
        <v>14</v>
      </c>
    </row>
    <row r="7" spans="1:6" ht="12.75">
      <c r="A7" s="2" t="s">
        <v>510</v>
      </c>
      <c r="B7" s="2" t="s">
        <v>514</v>
      </c>
      <c r="C7" s="2" t="s">
        <v>7</v>
      </c>
      <c r="D7" s="2" t="s">
        <v>8</v>
      </c>
      <c r="E7" s="2" t="s">
        <v>12</v>
      </c>
      <c r="F7" s="2" t="s">
        <v>14</v>
      </c>
    </row>
    <row r="8" spans="1:6" ht="12.75">
      <c r="A8" s="2" t="s">
        <v>510</v>
      </c>
      <c r="B8" s="2" t="s">
        <v>515</v>
      </c>
      <c r="C8" s="2" t="s">
        <v>5</v>
      </c>
      <c r="D8" s="2" t="s">
        <v>10</v>
      </c>
      <c r="E8" s="2" t="s">
        <v>12</v>
      </c>
      <c r="F8" s="2" t="s">
        <v>14</v>
      </c>
    </row>
    <row r="9" spans="1:6" ht="12.75">
      <c r="A9" s="2" t="s">
        <v>510</v>
      </c>
      <c r="B9" s="2" t="s">
        <v>516</v>
      </c>
      <c r="C9" s="2" t="s">
        <v>5</v>
      </c>
      <c r="D9" s="2" t="s">
        <v>7</v>
      </c>
      <c r="E9" s="2" t="s">
        <v>12</v>
      </c>
      <c r="F9" s="2" t="s">
        <v>14</v>
      </c>
    </row>
    <row r="10" spans="1:6" ht="12.75">
      <c r="A10" s="2" t="s">
        <v>510</v>
      </c>
      <c r="B10" s="2" t="s">
        <v>517</v>
      </c>
      <c r="C10" s="2" t="s">
        <v>6</v>
      </c>
      <c r="D10" s="2" t="s">
        <v>8</v>
      </c>
      <c r="E10" s="2" t="s">
        <v>12</v>
      </c>
      <c r="F10" s="2" t="s">
        <v>13</v>
      </c>
    </row>
    <row r="11" spans="1:6" ht="12.75">
      <c r="A11" s="2" t="s">
        <v>510</v>
      </c>
      <c r="B11" s="2" t="s">
        <v>518</v>
      </c>
      <c r="C11" s="2" t="s">
        <v>9</v>
      </c>
      <c r="D11" s="2" t="s">
        <v>7</v>
      </c>
      <c r="E11" s="2" t="s">
        <v>12</v>
      </c>
      <c r="F11" s="2" t="s">
        <v>14</v>
      </c>
    </row>
    <row r="12" spans="1:6" ht="12.75">
      <c r="A12" s="2" t="s">
        <v>510</v>
      </c>
      <c r="B12" s="2" t="s">
        <v>519</v>
      </c>
      <c r="C12" s="2" t="s">
        <v>50</v>
      </c>
      <c r="D12" s="2" t="s">
        <v>7</v>
      </c>
      <c r="E12" s="2" t="s">
        <v>12</v>
      </c>
      <c r="F12" s="2" t="s">
        <v>13</v>
      </c>
    </row>
    <row r="13" spans="1:6" ht="12.75">
      <c r="A13" s="2" t="s">
        <v>510</v>
      </c>
      <c r="B13" s="2" t="s">
        <v>520</v>
      </c>
      <c r="C13" s="2" t="s">
        <v>5</v>
      </c>
      <c r="D13" s="2" t="s">
        <v>9</v>
      </c>
      <c r="E13" s="2" t="s">
        <v>12</v>
      </c>
      <c r="F13" s="2" t="s">
        <v>14</v>
      </c>
    </row>
    <row r="14" spans="1:6" ht="12.75">
      <c r="A14" s="2" t="s">
        <v>510</v>
      </c>
      <c r="B14" s="2" t="s">
        <v>521</v>
      </c>
      <c r="C14" s="2" t="s">
        <v>797</v>
      </c>
      <c r="D14" s="2" t="s">
        <v>796</v>
      </c>
      <c r="E14" s="2" t="s">
        <v>12</v>
      </c>
      <c r="F14" s="2" t="s">
        <v>14</v>
      </c>
    </row>
    <row r="15" spans="1:6" ht="12.75">
      <c r="A15" s="2" t="s">
        <v>510</v>
      </c>
      <c r="B15" s="2" t="s">
        <v>522</v>
      </c>
      <c r="C15" s="2" t="s">
        <v>796</v>
      </c>
      <c r="D15" s="2" t="s">
        <v>797</v>
      </c>
      <c r="E15" s="2" t="s">
        <v>12</v>
      </c>
      <c r="F15" s="2" t="s">
        <v>14</v>
      </c>
    </row>
    <row r="16" spans="1:6" ht="12.75">
      <c r="A16" s="2" t="s">
        <v>510</v>
      </c>
      <c r="B16" s="2" t="s">
        <v>523</v>
      </c>
      <c r="C16" s="2" t="s">
        <v>268</v>
      </c>
      <c r="D16" s="2" t="s">
        <v>6</v>
      </c>
      <c r="E16" s="2" t="s">
        <v>12</v>
      </c>
      <c r="F16" s="2" t="s">
        <v>13</v>
      </c>
    </row>
    <row r="17" spans="1:6" ht="12.75">
      <c r="A17" s="2" t="s">
        <v>510</v>
      </c>
      <c r="B17" s="2" t="s">
        <v>524</v>
      </c>
      <c r="C17" s="2" t="s">
        <v>9</v>
      </c>
      <c r="D17" s="2" t="s">
        <v>6</v>
      </c>
      <c r="E17" s="2" t="s">
        <v>12</v>
      </c>
      <c r="F17" s="2" t="s">
        <v>13</v>
      </c>
    </row>
    <row r="18" spans="1:6" ht="12.75">
      <c r="A18" s="2" t="s">
        <v>510</v>
      </c>
      <c r="B18" s="2" t="s">
        <v>525</v>
      </c>
      <c r="C18" s="2" t="s">
        <v>6</v>
      </c>
      <c r="D18" s="2" t="s">
        <v>9</v>
      </c>
      <c r="E18" s="2" t="s">
        <v>12</v>
      </c>
      <c r="F18" s="2" t="s">
        <v>13</v>
      </c>
    </row>
    <row r="19" spans="1:6" ht="12.75">
      <c r="A19" s="2" t="s">
        <v>510</v>
      </c>
      <c r="B19" s="2" t="s">
        <v>526</v>
      </c>
      <c r="C19" s="2" t="s">
        <v>6</v>
      </c>
      <c r="D19" s="2" t="s">
        <v>262</v>
      </c>
      <c r="E19" s="2" t="s">
        <v>12</v>
      </c>
      <c r="F19" s="2" t="s">
        <v>13</v>
      </c>
    </row>
    <row r="20" spans="1:6" ht="12.75">
      <c r="A20" s="2" t="s">
        <v>510</v>
      </c>
      <c r="B20" s="2" t="s">
        <v>527</v>
      </c>
      <c r="C20" s="2" t="s">
        <v>8</v>
      </c>
      <c r="D20" s="2" t="s">
        <v>10</v>
      </c>
      <c r="E20" s="2" t="s">
        <v>12</v>
      </c>
      <c r="F20" s="2" t="s">
        <v>13</v>
      </c>
    </row>
    <row r="21" spans="1:6" ht="12.75">
      <c r="A21" s="2" t="s">
        <v>510</v>
      </c>
      <c r="B21" s="2" t="s">
        <v>528</v>
      </c>
      <c r="C21" s="2" t="s">
        <v>50</v>
      </c>
      <c r="D21" s="2" t="s">
        <v>10</v>
      </c>
      <c r="E21" s="2" t="s">
        <v>12</v>
      </c>
      <c r="F21" s="2" t="s">
        <v>13</v>
      </c>
    </row>
    <row r="22" spans="1:6" ht="12.75">
      <c r="A22" s="2" t="s">
        <v>510</v>
      </c>
      <c r="B22" s="2" t="s">
        <v>529</v>
      </c>
      <c r="C22" s="2" t="s">
        <v>9</v>
      </c>
      <c r="D22" s="2" t="s">
        <v>5</v>
      </c>
      <c r="E22" s="2" t="s">
        <v>12</v>
      </c>
      <c r="F22" s="2" t="s">
        <v>13</v>
      </c>
    </row>
    <row r="23" spans="1:6" ht="12.75">
      <c r="A23" s="2" t="s">
        <v>510</v>
      </c>
      <c r="B23" s="2" t="s">
        <v>530</v>
      </c>
      <c r="C23" s="2" t="s">
        <v>9</v>
      </c>
      <c r="D23" s="2" t="s">
        <v>50</v>
      </c>
      <c r="E23" s="2" t="s">
        <v>12</v>
      </c>
      <c r="F23" s="2" t="s">
        <v>14</v>
      </c>
    </row>
    <row r="24" spans="1:6" ht="12.75">
      <c r="A24" s="2" t="s">
        <v>510</v>
      </c>
      <c r="B24" s="2" t="s">
        <v>531</v>
      </c>
      <c r="C24" s="2" t="s">
        <v>10</v>
      </c>
      <c r="D24" s="2" t="s">
        <v>50</v>
      </c>
      <c r="E24" s="2" t="s">
        <v>12</v>
      </c>
      <c r="F24" s="2" t="s">
        <v>14</v>
      </c>
    </row>
    <row r="25" spans="1:6" ht="12.75">
      <c r="A25" s="2" t="s">
        <v>510</v>
      </c>
      <c r="B25" s="2" t="s">
        <v>532</v>
      </c>
      <c r="C25" s="2" t="s">
        <v>7</v>
      </c>
      <c r="D25" s="2" t="s">
        <v>10</v>
      </c>
      <c r="E25" s="2" t="s">
        <v>12</v>
      </c>
      <c r="F25" s="2" t="s">
        <v>14</v>
      </c>
    </row>
    <row r="26" spans="1:6" ht="12.75">
      <c r="A26" s="2" t="s">
        <v>510</v>
      </c>
      <c r="B26" s="2" t="s">
        <v>534</v>
      </c>
      <c r="C26" s="2" t="s">
        <v>8</v>
      </c>
      <c r="D26" s="2" t="s">
        <v>796</v>
      </c>
      <c r="E26" s="2" t="s">
        <v>12</v>
      </c>
      <c r="F26" s="2" t="s">
        <v>14</v>
      </c>
    </row>
    <row r="27" spans="1:6" ht="12.75">
      <c r="A27" s="2" t="s">
        <v>510</v>
      </c>
      <c r="B27" s="2" t="s">
        <v>535</v>
      </c>
      <c r="C27" s="2" t="s">
        <v>6</v>
      </c>
      <c r="D27" s="2" t="s">
        <v>5</v>
      </c>
      <c r="E27" s="2" t="s">
        <v>12</v>
      </c>
      <c r="F27" s="2" t="s">
        <v>14</v>
      </c>
    </row>
    <row r="28" spans="1:6" ht="12.75">
      <c r="A28" s="2" t="s">
        <v>510</v>
      </c>
      <c r="B28" s="2" t="s">
        <v>533</v>
      </c>
      <c r="C28" s="2" t="s">
        <v>50</v>
      </c>
      <c r="D28" s="2" t="s">
        <v>8</v>
      </c>
      <c r="E28" s="2" t="s">
        <v>12</v>
      </c>
      <c r="F28" s="2" t="s">
        <v>13</v>
      </c>
    </row>
    <row r="60" ht="12.75">
      <c r="B60" s="3"/>
    </row>
    <row r="62" ht="12.75">
      <c r="B62" s="3"/>
    </row>
    <row r="67" ht="12.75">
      <c r="B67" s="3"/>
    </row>
    <row r="69" ht="12.75">
      <c r="B69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0"/>
  <sheetViews>
    <sheetView zoomScaleSheetLayoutView="100" zoomScalePageLayoutView="0" workbookViewId="0" topLeftCell="A1">
      <pane ySplit="5" topLeftCell="A34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9.28125" style="70" bestFit="1" customWidth="1"/>
    <col min="2" max="2" width="4.7109375" style="0" bestFit="1" customWidth="1"/>
    <col min="3" max="3" width="45.421875" style="0" customWidth="1"/>
    <col min="4" max="4" width="14.57421875" style="0" customWidth="1"/>
    <col min="5" max="5" width="13.57421875" style="0" bestFit="1" customWidth="1"/>
    <col min="6" max="6" width="8.00390625" style="0" bestFit="1" customWidth="1"/>
    <col min="7" max="7" width="8.140625" style="2" bestFit="1" customWidth="1"/>
    <col min="8" max="8" width="7.7109375" style="0" bestFit="1" customWidth="1"/>
    <col min="9" max="9" width="9.57421875" style="0" bestFit="1" customWidth="1"/>
    <col min="10" max="10" width="1.1484375" style="0" customWidth="1"/>
    <col min="11" max="11" width="6.00390625" style="0" customWidth="1"/>
    <col min="12" max="14" width="3.00390625" style="0" customWidth="1"/>
    <col min="15" max="15" width="5.00390625" style="0" customWidth="1"/>
    <col min="16" max="16" width="3.28125" style="0" bestFit="1" customWidth="1"/>
    <col min="17" max="17" width="4.7109375" style="0" bestFit="1" customWidth="1"/>
    <col min="18" max="18" width="3.00390625" style="0" customWidth="1"/>
    <col min="19" max="20" width="12.00390625" style="0" bestFit="1" customWidth="1"/>
    <col min="21" max="21" width="9.28125" style="0" bestFit="1" customWidth="1"/>
    <col min="22" max="22" width="7.28125" style="0" bestFit="1" customWidth="1"/>
    <col min="23" max="23" width="9.421875" style="0" bestFit="1" customWidth="1"/>
    <col min="24" max="24" width="9.28125" style="0" customWidth="1"/>
    <col min="25" max="25" width="8.7109375" style="0" bestFit="1" customWidth="1"/>
    <col min="26" max="27" width="8.57421875" style="0" bestFit="1" customWidth="1"/>
    <col min="28" max="28" width="5.00390625" style="0" bestFit="1" customWidth="1"/>
    <col min="29" max="29" width="4.7109375" style="0" bestFit="1" customWidth="1"/>
    <col min="30" max="31" width="3.8515625" style="0" customWidth="1"/>
  </cols>
  <sheetData>
    <row r="1" spans="2:9" ht="13.5" thickTop="1">
      <c r="B1" s="16"/>
      <c r="C1" s="17"/>
      <c r="D1" s="17"/>
      <c r="E1" s="17"/>
      <c r="F1" s="17"/>
      <c r="G1" s="11"/>
      <c r="H1" s="17"/>
      <c r="I1" s="18"/>
    </row>
    <row r="2" spans="1:9" s="57" customFormat="1" ht="16.5" thickBot="1">
      <c r="A2" s="71"/>
      <c r="B2" s="54"/>
      <c r="C2" s="55" t="s">
        <v>117</v>
      </c>
      <c r="D2" s="56" t="str">
        <f>Input!B9</f>
        <v>ABRAHAM LINCOLN</v>
      </c>
      <c r="E2" s="56"/>
      <c r="F2" s="55"/>
      <c r="G2" s="58"/>
      <c r="H2" s="58"/>
      <c r="I2" s="59"/>
    </row>
    <row r="3" spans="1:32" ht="13.5" thickTop="1">
      <c r="A3" s="72" t="s">
        <v>799</v>
      </c>
      <c r="B3" s="19"/>
      <c r="C3" s="7"/>
      <c r="D3" s="7"/>
      <c r="E3" s="7"/>
      <c r="F3" s="7"/>
      <c r="G3" s="9"/>
      <c r="H3" s="7"/>
      <c r="I3" s="20"/>
      <c r="S3" s="16" t="s">
        <v>602</v>
      </c>
      <c r="T3" s="17" t="s">
        <v>604</v>
      </c>
      <c r="U3" s="17" t="s">
        <v>602</v>
      </c>
      <c r="V3" s="17" t="s">
        <v>602</v>
      </c>
      <c r="W3" s="16" t="s">
        <v>605</v>
      </c>
      <c r="X3" s="17" t="s">
        <v>604</v>
      </c>
      <c r="Y3" s="17" t="s">
        <v>605</v>
      </c>
      <c r="Z3" s="17" t="s">
        <v>605</v>
      </c>
      <c r="AA3" s="16" t="s">
        <v>509</v>
      </c>
      <c r="AB3" s="16" t="s">
        <v>620</v>
      </c>
      <c r="AC3" s="17" t="s">
        <v>606</v>
      </c>
      <c r="AD3" s="17" t="s">
        <v>621</v>
      </c>
      <c r="AE3" s="18" t="s">
        <v>622</v>
      </c>
      <c r="AF3" s="19"/>
    </row>
    <row r="4" spans="1:32" ht="12.75">
      <c r="A4" s="70" t="s">
        <v>1228</v>
      </c>
      <c r="B4" s="19"/>
      <c r="C4" s="8" t="s">
        <v>416</v>
      </c>
      <c r="D4" s="61" t="s">
        <v>107</v>
      </c>
      <c r="E4" s="61" t="s">
        <v>108</v>
      </c>
      <c r="F4" s="61" t="s">
        <v>109</v>
      </c>
      <c r="G4" s="61" t="s">
        <v>106</v>
      </c>
      <c r="H4" s="61" t="s">
        <v>1227</v>
      </c>
      <c r="I4" s="62" t="s">
        <v>248</v>
      </c>
      <c r="S4" s="19" t="s">
        <v>603</v>
      </c>
      <c r="T4" s="7"/>
      <c r="U4" s="7" t="s">
        <v>505</v>
      </c>
      <c r="V4" s="7" t="s">
        <v>505</v>
      </c>
      <c r="W4" s="19" t="s">
        <v>603</v>
      </c>
      <c r="X4" s="7"/>
      <c r="Y4" s="7" t="s">
        <v>505</v>
      </c>
      <c r="Z4" s="7" t="s">
        <v>505</v>
      </c>
      <c r="AA4" s="19" t="s">
        <v>508</v>
      </c>
      <c r="AB4" s="19"/>
      <c r="AC4" s="7"/>
      <c r="AD4" s="7"/>
      <c r="AE4" s="20"/>
      <c r="AF4" s="19"/>
    </row>
    <row r="5" spans="1:32" ht="13.5" thickBot="1">
      <c r="A5" s="72" t="s">
        <v>1211</v>
      </c>
      <c r="B5" s="19"/>
      <c r="C5" s="7"/>
      <c r="D5" s="7"/>
      <c r="E5" s="7"/>
      <c r="F5" s="7"/>
      <c r="G5" s="9"/>
      <c r="H5" s="7"/>
      <c r="I5" s="20"/>
      <c r="S5" s="21"/>
      <c r="T5" s="22"/>
      <c r="U5" s="22" t="s">
        <v>506</v>
      </c>
      <c r="V5" s="22" t="s">
        <v>507</v>
      </c>
      <c r="W5" s="21"/>
      <c r="X5" s="22"/>
      <c r="Y5" s="22" t="s">
        <v>506</v>
      </c>
      <c r="Z5" s="22" t="s">
        <v>507</v>
      </c>
      <c r="AA5" s="21" t="s">
        <v>505</v>
      </c>
      <c r="AB5" s="21"/>
      <c r="AC5" s="22"/>
      <c r="AD5" s="22"/>
      <c r="AE5" s="23"/>
      <c r="AF5" s="19"/>
    </row>
    <row r="6" spans="1:32" ht="13.5" thickTop="1">
      <c r="A6" s="72" t="s">
        <v>1149</v>
      </c>
      <c r="B6" s="43"/>
      <c r="C6" s="45" t="s">
        <v>798</v>
      </c>
      <c r="D6" s="44" t="s">
        <v>6</v>
      </c>
      <c r="E6" s="44" t="s">
        <v>8</v>
      </c>
      <c r="F6" s="44" t="s">
        <v>12</v>
      </c>
      <c r="G6" s="45" t="s">
        <v>14</v>
      </c>
      <c r="H6" s="44" t="str">
        <f aca="true" t="shared" si="0" ref="H6:H14">CONCATENATE(TEXT(K6,0),L6,TEXT(M6,0))</f>
        <v>27CP53</v>
      </c>
      <c r="I6" s="46" t="str">
        <f aca="true" t="shared" si="1" ref="I6:I14">CONCATENATE(TEXT(O6,0),P6,TEXT(Q6,0))</f>
        <v>2SA7</v>
      </c>
      <c r="K6">
        <f aca="true" t="shared" si="2" ref="K6:K14">AB6</f>
        <v>27</v>
      </c>
      <c r="L6" t="str">
        <f aca="true" t="shared" si="3" ref="L6:L14">AD6</f>
        <v>CP</v>
      </c>
      <c r="M6">
        <f aca="true" t="shared" si="4" ref="M6:M14">AE6</f>
        <v>52.999999999999545</v>
      </c>
      <c r="O6">
        <f aca="true" t="shared" si="5" ref="O6:O14">29-K6</f>
        <v>2</v>
      </c>
      <c r="P6" t="str">
        <f aca="true" t="shared" si="6" ref="P6:P14">VLOOKUP(AC6,SIGNS,4)</f>
        <v>SA</v>
      </c>
      <c r="Q6">
        <f aca="true" t="shared" si="7" ref="Q6:Q14">60-M6</f>
        <v>7.000000000000455</v>
      </c>
      <c r="S6" s="29">
        <f>MOON-SUN</f>
        <v>-28.133333333333326</v>
      </c>
      <c r="T6" s="26">
        <f aca="true" t="shared" si="8" ref="T6:T14">IF(S6&lt;0,S6+360,S6)</f>
        <v>331.8666666666667</v>
      </c>
      <c r="U6" s="26">
        <f aca="true" t="shared" si="9" ref="U6:U14">T6+ASC</f>
        <v>601.6166666666667</v>
      </c>
      <c r="V6" s="26">
        <f aca="true" t="shared" si="10" ref="V6:V14">IF(U6&gt;360,U6-360,U6)</f>
        <v>241.61666666666667</v>
      </c>
      <c r="W6" s="29">
        <f>SUN-MOON</f>
        <v>28.133333333333326</v>
      </c>
      <c r="X6" s="26">
        <f aca="true" t="shared" si="11" ref="X6:X14">IF(W6&lt;0,W6+360,W6)</f>
        <v>28.133333333333326</v>
      </c>
      <c r="Y6" s="26">
        <f aca="true" t="shared" si="12" ref="Y6:Y14">X6+ASC</f>
        <v>297.8833333333333</v>
      </c>
      <c r="Z6" s="26">
        <f aca="true" t="shared" si="13" ref="Z6:Z14">IF(Y6&gt;360,Y6-360,Y6)</f>
        <v>297.8833333333333</v>
      </c>
      <c r="AA6" s="29">
        <f aca="true" t="shared" si="14" ref="AA6:AA14">IF(SECT="D",V6,Z6)</f>
        <v>297.8833333333333</v>
      </c>
      <c r="AB6" s="19">
        <f aca="true" t="shared" si="15" ref="AB6:AB14">TRUNC(AA6)-VLOOKUP(AC6,SIGNS,3)</f>
        <v>27</v>
      </c>
      <c r="AC6">
        <f aca="true" t="shared" si="16" ref="AC6:AC14">TRUNC(AA6/30)+1</f>
        <v>10</v>
      </c>
      <c r="AD6" t="str">
        <f aca="true" t="shared" si="17" ref="AD6:AD14">VLOOKUP(AC6,SIGNS,2)</f>
        <v>CP</v>
      </c>
      <c r="AE6">
        <f aca="true" t="shared" si="18" ref="AE6:AE14">(AA6-TRUNC(AA6))*60</f>
        <v>52.999999999999545</v>
      </c>
      <c r="AF6" s="19"/>
    </row>
    <row r="7" spans="1:32" ht="12.75">
      <c r="A7" s="72" t="s">
        <v>1150</v>
      </c>
      <c r="B7" s="19"/>
      <c r="C7" s="9" t="s">
        <v>804</v>
      </c>
      <c r="D7" s="7" t="s">
        <v>8</v>
      </c>
      <c r="E7" s="7" t="s">
        <v>6</v>
      </c>
      <c r="F7" s="7" t="s">
        <v>12</v>
      </c>
      <c r="G7" s="9" t="s">
        <v>14</v>
      </c>
      <c r="H7" s="7" t="str">
        <f t="shared" si="0"/>
        <v>1SA37</v>
      </c>
      <c r="I7" s="20" t="str">
        <f t="shared" si="1"/>
        <v>28CP23</v>
      </c>
      <c r="K7">
        <f t="shared" si="2"/>
        <v>1</v>
      </c>
      <c r="L7" t="str">
        <f t="shared" si="3"/>
        <v>SA</v>
      </c>
      <c r="M7">
        <f t="shared" si="4"/>
        <v>37.000000000000455</v>
      </c>
      <c r="O7">
        <f t="shared" si="5"/>
        <v>28</v>
      </c>
      <c r="P7" t="str">
        <f t="shared" si="6"/>
        <v>CP</v>
      </c>
      <c r="Q7">
        <f t="shared" si="7"/>
        <v>22.999999999999545</v>
      </c>
      <c r="S7" s="29">
        <f>SUN-MOON</f>
        <v>28.133333333333326</v>
      </c>
      <c r="T7" s="26">
        <f t="shared" si="8"/>
        <v>28.133333333333326</v>
      </c>
      <c r="U7" s="26">
        <f t="shared" si="9"/>
        <v>297.8833333333333</v>
      </c>
      <c r="V7" s="26">
        <f t="shared" si="10"/>
        <v>297.8833333333333</v>
      </c>
      <c r="W7" s="29">
        <f>MOON-SUN</f>
        <v>-28.133333333333326</v>
      </c>
      <c r="X7" s="26">
        <f t="shared" si="11"/>
        <v>331.8666666666667</v>
      </c>
      <c r="Y7" s="26">
        <f t="shared" si="12"/>
        <v>601.6166666666667</v>
      </c>
      <c r="Z7" s="26">
        <f t="shared" si="13"/>
        <v>241.61666666666667</v>
      </c>
      <c r="AA7" s="29">
        <f t="shared" si="14"/>
        <v>241.61666666666667</v>
      </c>
      <c r="AB7" s="19">
        <f t="shared" si="15"/>
        <v>1</v>
      </c>
      <c r="AC7">
        <f t="shared" si="16"/>
        <v>9</v>
      </c>
      <c r="AD7" t="str">
        <f t="shared" si="17"/>
        <v>SA</v>
      </c>
      <c r="AE7">
        <f t="shared" si="18"/>
        <v>37.000000000000455</v>
      </c>
      <c r="AF7" s="19"/>
    </row>
    <row r="8" spans="2:32" ht="12.75">
      <c r="B8" s="19"/>
      <c r="C8" s="9" t="s">
        <v>807</v>
      </c>
      <c r="D8" s="9" t="s">
        <v>797</v>
      </c>
      <c r="E8" s="7" t="s">
        <v>7</v>
      </c>
      <c r="F8" s="7" t="s">
        <v>12</v>
      </c>
      <c r="G8" s="9" t="s">
        <v>14</v>
      </c>
      <c r="H8" s="7" t="str">
        <f>CONCATENATE(TEXT(K8,0),L8,TEXT(M8,0))</f>
        <v>24LE4</v>
      </c>
      <c r="I8" s="20" t="str">
        <f>CONCATENATE(TEXT(O8,0),P8,TEXT(Q8,0))</f>
        <v>5TA56</v>
      </c>
      <c r="K8">
        <f>AB8</f>
        <v>24</v>
      </c>
      <c r="L8" t="str">
        <f>AD8</f>
        <v>LE</v>
      </c>
      <c r="M8">
        <f>AE8</f>
        <v>3.9999999999997726</v>
      </c>
      <c r="O8">
        <f>29-K8</f>
        <v>5</v>
      </c>
      <c r="P8" t="str">
        <f>VLOOKUP(AC8,SIGNS,4)</f>
        <v>TA</v>
      </c>
      <c r="Q8">
        <f>60-M8</f>
        <v>56.00000000000023</v>
      </c>
      <c r="S8" s="29">
        <f>VE-POS</f>
        <v>-234.31666666666666</v>
      </c>
      <c r="T8" s="26">
        <f>IF(S8&lt;0,S8+360,S8)</f>
        <v>125.68333333333334</v>
      </c>
      <c r="U8" s="26">
        <f>T8+ASC</f>
        <v>395.43333333333334</v>
      </c>
      <c r="V8" s="26">
        <f>IF(U8&gt;360,U8-360,U8)</f>
        <v>35.43333333333334</v>
      </c>
      <c r="W8" s="29">
        <f>POS-VE</f>
        <v>234.31666666666666</v>
      </c>
      <c r="X8" s="26">
        <f>IF(W8&lt;0,W8+360,W8)</f>
        <v>234.31666666666666</v>
      </c>
      <c r="Y8" s="26">
        <f>X8+ASC</f>
        <v>504.06666666666666</v>
      </c>
      <c r="Z8" s="26">
        <f>IF(Y8&gt;360,Y8-360,Y8)</f>
        <v>144.06666666666666</v>
      </c>
      <c r="AA8" s="29">
        <f>IF(SECT="D",V8,Z8)</f>
        <v>144.06666666666666</v>
      </c>
      <c r="AB8" s="19">
        <f>TRUNC(AA8)-VLOOKUP(AC8,SIGNS,3)</f>
        <v>24</v>
      </c>
      <c r="AC8">
        <f>TRUNC(AA8/30)+1</f>
        <v>5</v>
      </c>
      <c r="AD8" t="str">
        <f>VLOOKUP(AC8,SIGNS,2)</f>
        <v>LE</v>
      </c>
      <c r="AE8">
        <f>(AA8-TRUNC(AA8))*60</f>
        <v>3.9999999999997726</v>
      </c>
      <c r="AF8" s="19"/>
    </row>
    <row r="9" spans="1:32" ht="12.75">
      <c r="A9" s="72" t="s">
        <v>1151</v>
      </c>
      <c r="B9" s="19"/>
      <c r="C9" s="9" t="s">
        <v>806</v>
      </c>
      <c r="D9" s="9" t="s">
        <v>796</v>
      </c>
      <c r="E9" s="9" t="s">
        <v>797</v>
      </c>
      <c r="F9" s="7" t="s">
        <v>12</v>
      </c>
      <c r="G9" s="9" t="s">
        <v>14</v>
      </c>
      <c r="H9" s="7" t="str">
        <f>CONCATENATE(TEXT(K9,0),L9,TEXT(M9,0))</f>
        <v>26AQ1</v>
      </c>
      <c r="I9" s="20" t="str">
        <f>CONCATENATE(TEXT(O9,0),P9,TEXT(Q9,0))</f>
        <v>3SC59</v>
      </c>
      <c r="K9">
        <f>AB9</f>
        <v>26</v>
      </c>
      <c r="L9" t="str">
        <f>AD9</f>
        <v>AQ</v>
      </c>
      <c r="M9">
        <f>AE9</f>
        <v>0.9999999999990905</v>
      </c>
      <c r="O9">
        <f>29-K9</f>
        <v>3</v>
      </c>
      <c r="P9" t="str">
        <f>VLOOKUP(AC9,SIGNS,4)</f>
        <v>SC</v>
      </c>
      <c r="Q9">
        <f>60-M9</f>
        <v>59.00000000000091</v>
      </c>
      <c r="S9" s="29">
        <f>POS-POF</f>
        <v>-56.26666666666665</v>
      </c>
      <c r="T9" s="26">
        <f>IF(S9&lt;0,S9+360,S9)</f>
        <v>303.73333333333335</v>
      </c>
      <c r="U9" s="26">
        <f>T9+ASC</f>
        <v>573.4833333333333</v>
      </c>
      <c r="V9" s="26">
        <f>IF(U9&gt;360,U9-360,U9)</f>
        <v>213.48333333333335</v>
      </c>
      <c r="W9" s="29">
        <f>POF-POS</f>
        <v>56.26666666666665</v>
      </c>
      <c r="X9" s="26">
        <f>IF(W9&lt;0,W9+360,W9)</f>
        <v>56.26666666666665</v>
      </c>
      <c r="Y9" s="26">
        <f>X9+ASC</f>
        <v>326.01666666666665</v>
      </c>
      <c r="Z9" s="26">
        <f>IF(Y9&gt;360,Y9-360,Y9)</f>
        <v>326.01666666666665</v>
      </c>
      <c r="AA9" s="29">
        <f>IF(SECT="D",V9,Z9)</f>
        <v>326.01666666666665</v>
      </c>
      <c r="AB9" s="19">
        <f>TRUNC(AA9)-VLOOKUP(AC9,SIGNS,3)</f>
        <v>26</v>
      </c>
      <c r="AC9">
        <f>TRUNC(AA9/30)+1</f>
        <v>11</v>
      </c>
      <c r="AD9" t="str">
        <f>VLOOKUP(AC9,SIGNS,2)</f>
        <v>AQ</v>
      </c>
      <c r="AE9">
        <f>(AA9-TRUNC(AA9))*60</f>
        <v>0.9999999999990905</v>
      </c>
      <c r="AF9" s="19"/>
    </row>
    <row r="10" spans="2:32" ht="12.75">
      <c r="B10" s="19"/>
      <c r="C10" s="9" t="s">
        <v>812</v>
      </c>
      <c r="D10" s="7" t="s">
        <v>50</v>
      </c>
      <c r="E10" s="9" t="s">
        <v>796</v>
      </c>
      <c r="F10" s="7" t="s">
        <v>12</v>
      </c>
      <c r="G10" s="9" t="s">
        <v>14</v>
      </c>
      <c r="H10" s="7" t="str">
        <f t="shared" si="0"/>
        <v>11AQ58</v>
      </c>
      <c r="I10" s="20" t="str">
        <f t="shared" si="1"/>
        <v>18SC2</v>
      </c>
      <c r="K10">
        <f t="shared" si="2"/>
        <v>11</v>
      </c>
      <c r="L10" t="str">
        <f t="shared" si="3"/>
        <v>AQ</v>
      </c>
      <c r="M10">
        <f t="shared" si="4"/>
        <v>58.00000000000182</v>
      </c>
      <c r="O10">
        <f t="shared" si="5"/>
        <v>18</v>
      </c>
      <c r="P10" t="str">
        <f t="shared" si="6"/>
        <v>SC</v>
      </c>
      <c r="Q10">
        <f t="shared" si="7"/>
        <v>1.999999999998181</v>
      </c>
      <c r="S10" s="29">
        <f>POF-ME</f>
        <v>-42.2166666666667</v>
      </c>
      <c r="T10" s="26">
        <f t="shared" si="8"/>
        <v>317.7833333333333</v>
      </c>
      <c r="U10" s="26">
        <f t="shared" si="9"/>
        <v>587.5333333333333</v>
      </c>
      <c r="V10" s="26">
        <f t="shared" si="10"/>
        <v>227.5333333333333</v>
      </c>
      <c r="W10" s="29">
        <f>ME-POF</f>
        <v>42.2166666666667</v>
      </c>
      <c r="X10" s="26">
        <f t="shared" si="11"/>
        <v>42.2166666666667</v>
      </c>
      <c r="Y10" s="26">
        <f t="shared" si="12"/>
        <v>311.9666666666667</v>
      </c>
      <c r="Z10" s="26">
        <f t="shared" si="13"/>
        <v>311.9666666666667</v>
      </c>
      <c r="AA10" s="29">
        <f t="shared" si="14"/>
        <v>311.9666666666667</v>
      </c>
      <c r="AB10" s="19">
        <f t="shared" si="15"/>
        <v>11</v>
      </c>
      <c r="AC10">
        <f t="shared" si="16"/>
        <v>11</v>
      </c>
      <c r="AD10" t="str">
        <f t="shared" si="17"/>
        <v>AQ</v>
      </c>
      <c r="AE10">
        <f t="shared" si="18"/>
        <v>58.00000000000182</v>
      </c>
      <c r="AF10" s="19"/>
    </row>
    <row r="11" spans="1:32" ht="12.75">
      <c r="A11" s="72" t="s">
        <v>1152</v>
      </c>
      <c r="B11" s="19"/>
      <c r="C11" s="9" t="s">
        <v>811</v>
      </c>
      <c r="D11" s="9" t="s">
        <v>797</v>
      </c>
      <c r="E11" s="9" t="s">
        <v>796</v>
      </c>
      <c r="F11" s="7" t="s">
        <v>12</v>
      </c>
      <c r="G11" s="9" t="s">
        <v>14</v>
      </c>
      <c r="H11" s="7" t="str">
        <f>CONCATENATE(TEXT(K11,0),L11,TEXT(M11,0))</f>
        <v>3SC29</v>
      </c>
      <c r="I11" s="20" t="str">
        <f>CONCATENATE(TEXT(O11,0),P11,TEXT(Q11,0))</f>
        <v>26AQ31</v>
      </c>
      <c r="K11">
        <f>AB11</f>
        <v>3</v>
      </c>
      <c r="L11" t="str">
        <f>AD11</f>
        <v>SC</v>
      </c>
      <c r="M11">
        <f>AE11</f>
        <v>29.00000000000091</v>
      </c>
      <c r="O11">
        <f>29-K11</f>
        <v>26</v>
      </c>
      <c r="P11" t="str">
        <f>VLOOKUP(AC11,SIGNS,4)</f>
        <v>AQ</v>
      </c>
      <c r="Q11">
        <f>60-M11</f>
        <v>30.99999999999909</v>
      </c>
      <c r="S11" s="29">
        <f>POF-POS</f>
        <v>56.26666666666665</v>
      </c>
      <c r="T11" s="26">
        <f t="shared" si="8"/>
        <v>56.26666666666665</v>
      </c>
      <c r="U11" s="26">
        <f t="shared" si="9"/>
        <v>326.01666666666665</v>
      </c>
      <c r="V11" s="26">
        <f t="shared" si="10"/>
        <v>326.01666666666665</v>
      </c>
      <c r="W11" s="29">
        <f>POS-POF</f>
        <v>-56.26666666666665</v>
      </c>
      <c r="X11" s="26">
        <f>IF(W11&lt;0,W11+360,W11)</f>
        <v>303.73333333333335</v>
      </c>
      <c r="Y11" s="26">
        <f>X11+ASC</f>
        <v>573.4833333333333</v>
      </c>
      <c r="Z11" s="26">
        <f>IF(Y11&gt;360,Y11-360,Y11)</f>
        <v>213.48333333333335</v>
      </c>
      <c r="AA11" s="29">
        <f>IF(SECT="D",V11,Z11)</f>
        <v>213.48333333333335</v>
      </c>
      <c r="AB11" s="19">
        <f t="shared" si="15"/>
        <v>3</v>
      </c>
      <c r="AC11">
        <f>TRUNC(AA11/30)+1</f>
        <v>8</v>
      </c>
      <c r="AD11" t="str">
        <f t="shared" si="17"/>
        <v>SC</v>
      </c>
      <c r="AE11">
        <f>(AA11-TRUNC(AA11))*60</f>
        <v>29.00000000000091</v>
      </c>
      <c r="AF11" s="19"/>
    </row>
    <row r="12" spans="1:32" ht="12.75">
      <c r="A12" s="72" t="s">
        <v>1153</v>
      </c>
      <c r="B12" s="19"/>
      <c r="C12" s="9" t="s">
        <v>815</v>
      </c>
      <c r="D12" s="7" t="s">
        <v>9</v>
      </c>
      <c r="E12" s="9" t="s">
        <v>796</v>
      </c>
      <c r="F12" s="7" t="s">
        <v>12</v>
      </c>
      <c r="G12" s="9" t="s">
        <v>14</v>
      </c>
      <c r="H12" s="7" t="str">
        <f t="shared" si="0"/>
        <v>27VI20</v>
      </c>
      <c r="I12" s="20" t="str">
        <f t="shared" si="1"/>
        <v>2AR40</v>
      </c>
      <c r="K12">
        <f t="shared" si="2"/>
        <v>27</v>
      </c>
      <c r="L12" t="str">
        <f t="shared" si="3"/>
        <v>VI</v>
      </c>
      <c r="M12">
        <f t="shared" si="4"/>
        <v>20.000000000002274</v>
      </c>
      <c r="O12">
        <f t="shared" si="5"/>
        <v>2</v>
      </c>
      <c r="P12" t="str">
        <f t="shared" si="6"/>
        <v>AR</v>
      </c>
      <c r="Q12">
        <f t="shared" si="7"/>
        <v>39.999999999997726</v>
      </c>
      <c r="S12" s="29">
        <f>POF-MA</f>
        <v>92.41666666666666</v>
      </c>
      <c r="T12" s="26">
        <f t="shared" si="8"/>
        <v>92.41666666666666</v>
      </c>
      <c r="U12" s="26">
        <f t="shared" si="9"/>
        <v>362.16666666666663</v>
      </c>
      <c r="V12" s="26">
        <f t="shared" si="10"/>
        <v>2.1666666666666288</v>
      </c>
      <c r="W12" s="29">
        <f>MA-POF</f>
        <v>-92.41666666666666</v>
      </c>
      <c r="X12" s="26">
        <f t="shared" si="11"/>
        <v>267.58333333333337</v>
      </c>
      <c r="Y12" s="26">
        <f t="shared" si="12"/>
        <v>537.3333333333334</v>
      </c>
      <c r="Z12" s="26">
        <f t="shared" si="13"/>
        <v>177.33333333333337</v>
      </c>
      <c r="AA12" s="29">
        <f t="shared" si="14"/>
        <v>177.33333333333337</v>
      </c>
      <c r="AB12" s="19">
        <f t="shared" si="15"/>
        <v>27</v>
      </c>
      <c r="AC12">
        <f t="shared" si="16"/>
        <v>6</v>
      </c>
      <c r="AD12" t="str">
        <f t="shared" si="17"/>
        <v>VI</v>
      </c>
      <c r="AE12">
        <f t="shared" si="18"/>
        <v>20.000000000002274</v>
      </c>
      <c r="AF12" s="19"/>
    </row>
    <row r="13" spans="1:32" ht="12.75">
      <c r="A13" s="72" t="s">
        <v>1154</v>
      </c>
      <c r="B13" s="19"/>
      <c r="C13" s="9" t="s">
        <v>818</v>
      </c>
      <c r="D13" s="9" t="s">
        <v>797</v>
      </c>
      <c r="E13" s="7" t="s">
        <v>10</v>
      </c>
      <c r="F13" s="7" t="s">
        <v>12</v>
      </c>
      <c r="G13" s="9" t="s">
        <v>14</v>
      </c>
      <c r="H13" s="7" t="str">
        <f t="shared" si="0"/>
        <v>9VI19</v>
      </c>
      <c r="I13" s="20" t="str">
        <f t="shared" si="1"/>
        <v>20AR41</v>
      </c>
      <c r="K13">
        <f t="shared" si="2"/>
        <v>9</v>
      </c>
      <c r="L13" t="str">
        <f t="shared" si="3"/>
        <v>VI</v>
      </c>
      <c r="M13">
        <f t="shared" si="4"/>
        <v>18.999999999996362</v>
      </c>
      <c r="O13">
        <f t="shared" si="5"/>
        <v>20</v>
      </c>
      <c r="P13" t="str">
        <f t="shared" si="6"/>
        <v>AR</v>
      </c>
      <c r="Q13">
        <f t="shared" si="7"/>
        <v>41.00000000000364</v>
      </c>
      <c r="S13" s="29">
        <f>JU-POS</f>
        <v>110.43333333333334</v>
      </c>
      <c r="T13" s="26">
        <f t="shared" si="8"/>
        <v>110.43333333333334</v>
      </c>
      <c r="U13" s="26">
        <f t="shared" si="9"/>
        <v>380.18333333333334</v>
      </c>
      <c r="V13" s="26">
        <f t="shared" si="10"/>
        <v>20.183333333333337</v>
      </c>
      <c r="W13" s="29">
        <f>POS-JU</f>
        <v>-110.43333333333334</v>
      </c>
      <c r="X13" s="26">
        <f t="shared" si="11"/>
        <v>249.56666666666666</v>
      </c>
      <c r="Y13" s="26">
        <f t="shared" si="12"/>
        <v>519.3166666666666</v>
      </c>
      <c r="Z13" s="26">
        <f t="shared" si="13"/>
        <v>159.3166666666666</v>
      </c>
      <c r="AA13" s="29">
        <f t="shared" si="14"/>
        <v>159.3166666666666</v>
      </c>
      <c r="AB13" s="19">
        <f t="shared" si="15"/>
        <v>9</v>
      </c>
      <c r="AC13">
        <f t="shared" si="16"/>
        <v>6</v>
      </c>
      <c r="AD13" t="str">
        <f t="shared" si="17"/>
        <v>VI</v>
      </c>
      <c r="AE13">
        <f t="shared" si="18"/>
        <v>18.999999999996362</v>
      </c>
      <c r="AF13" s="19"/>
    </row>
    <row r="14" spans="1:32" ht="12.75">
      <c r="A14" s="72" t="s">
        <v>1155</v>
      </c>
      <c r="B14" s="47"/>
      <c r="C14" s="52" t="s">
        <v>819</v>
      </c>
      <c r="D14" s="48" t="s">
        <v>5</v>
      </c>
      <c r="E14" s="52" t="s">
        <v>796</v>
      </c>
      <c r="F14" s="48" t="s">
        <v>12</v>
      </c>
      <c r="G14" s="52" t="s">
        <v>14</v>
      </c>
      <c r="H14" s="48" t="str">
        <f t="shared" si="0"/>
        <v>5SC0</v>
      </c>
      <c r="I14" s="50" t="str">
        <f t="shared" si="1"/>
        <v>24AQ60</v>
      </c>
      <c r="K14">
        <f t="shared" si="2"/>
        <v>5</v>
      </c>
      <c r="L14" t="str">
        <f t="shared" si="3"/>
        <v>SC</v>
      </c>
      <c r="M14">
        <f t="shared" si="4"/>
        <v>0</v>
      </c>
      <c r="O14">
        <f t="shared" si="5"/>
        <v>24</v>
      </c>
      <c r="P14" t="str">
        <f t="shared" si="6"/>
        <v>AQ</v>
      </c>
      <c r="Q14">
        <f t="shared" si="7"/>
        <v>60</v>
      </c>
      <c r="S14" s="29">
        <f>POF-SA</f>
        <v>54.75</v>
      </c>
      <c r="T14" s="26">
        <f t="shared" si="8"/>
        <v>54.75</v>
      </c>
      <c r="U14" s="26">
        <f t="shared" si="9"/>
        <v>324.5</v>
      </c>
      <c r="V14" s="26">
        <f t="shared" si="10"/>
        <v>324.5</v>
      </c>
      <c r="W14" s="29">
        <f>SA-POF</f>
        <v>-54.75</v>
      </c>
      <c r="X14" s="26">
        <f t="shared" si="11"/>
        <v>305.25</v>
      </c>
      <c r="Y14" s="26">
        <f t="shared" si="12"/>
        <v>575</v>
      </c>
      <c r="Z14" s="26">
        <f t="shared" si="13"/>
        <v>215</v>
      </c>
      <c r="AA14" s="29">
        <f t="shared" si="14"/>
        <v>215</v>
      </c>
      <c r="AB14" s="19">
        <f t="shared" si="15"/>
        <v>5</v>
      </c>
      <c r="AC14">
        <f t="shared" si="16"/>
        <v>8</v>
      </c>
      <c r="AD14" t="str">
        <f t="shared" si="17"/>
        <v>SC</v>
      </c>
      <c r="AE14">
        <f t="shared" si="18"/>
        <v>0</v>
      </c>
      <c r="AF14" s="19"/>
    </row>
    <row r="15" spans="2:32" ht="12.75">
      <c r="B15" s="19"/>
      <c r="C15" s="7"/>
      <c r="D15" s="7"/>
      <c r="E15" s="7"/>
      <c r="F15" s="7"/>
      <c r="G15" s="9"/>
      <c r="H15" s="7"/>
      <c r="I15" s="20"/>
      <c r="S15" s="19"/>
      <c r="W15" s="19"/>
      <c r="AA15" s="19"/>
      <c r="AB15" s="19"/>
      <c r="AF15" s="19"/>
    </row>
    <row r="16" spans="2:32" ht="12.75">
      <c r="B16" s="19"/>
      <c r="C16" s="8" t="s">
        <v>1147</v>
      </c>
      <c r="D16" s="7"/>
      <c r="E16" s="7"/>
      <c r="F16" s="7"/>
      <c r="G16" s="9"/>
      <c r="H16" s="7"/>
      <c r="I16" s="20"/>
      <c r="S16" s="19"/>
      <c r="W16" s="19"/>
      <c r="AA16" s="19"/>
      <c r="AB16" s="19"/>
      <c r="AF16" s="19"/>
    </row>
    <row r="17" spans="2:32" ht="12.75">
      <c r="B17" s="19"/>
      <c r="C17" s="7"/>
      <c r="D17" s="7"/>
      <c r="E17" s="7"/>
      <c r="F17" s="7"/>
      <c r="G17" s="9"/>
      <c r="H17" s="7"/>
      <c r="I17" s="20"/>
      <c r="S17" s="19"/>
      <c r="W17" s="19"/>
      <c r="AA17" s="19"/>
      <c r="AB17" s="19"/>
      <c r="AF17" s="19"/>
    </row>
    <row r="18" spans="1:32" ht="12.75">
      <c r="A18" s="72" t="s">
        <v>1156</v>
      </c>
      <c r="B18" s="43">
        <v>1</v>
      </c>
      <c r="C18" s="45" t="s">
        <v>772</v>
      </c>
      <c r="D18" s="45" t="s">
        <v>796</v>
      </c>
      <c r="E18" s="45" t="s">
        <v>797</v>
      </c>
      <c r="F18" s="44" t="s">
        <v>12</v>
      </c>
      <c r="G18" s="45" t="s">
        <v>14</v>
      </c>
      <c r="H18" s="44" t="str">
        <f aca="true" t="shared" si="19" ref="H18:H23">CONCATENATE(TEXT(K18,0),L18,TEXT(M18,0))</f>
        <v>26AQ1</v>
      </c>
      <c r="I18" s="46" t="str">
        <f aca="true" t="shared" si="20" ref="I18:I23">CONCATENATE(TEXT(O18,0),P18,TEXT(Q18,0))</f>
        <v>3SC59</v>
      </c>
      <c r="K18">
        <f aca="true" t="shared" si="21" ref="K18:K23">AB18</f>
        <v>26</v>
      </c>
      <c r="L18" t="str">
        <f aca="true" t="shared" si="22" ref="L18:M23">AD18</f>
        <v>AQ</v>
      </c>
      <c r="M18">
        <f t="shared" si="22"/>
        <v>0.9999999999990905</v>
      </c>
      <c r="O18">
        <f aca="true" t="shared" si="23" ref="O18:O23">29-K18</f>
        <v>3</v>
      </c>
      <c r="P18" t="str">
        <f aca="true" t="shared" si="24" ref="P18:P23">VLOOKUP(AC18,SIGNS,4)</f>
        <v>SC</v>
      </c>
      <c r="Q18">
        <f aca="true" t="shared" si="25" ref="Q18:Q23">60-M18</f>
        <v>59.00000000000091</v>
      </c>
      <c r="S18" s="29">
        <f>POS-POF</f>
        <v>-56.26666666666665</v>
      </c>
      <c r="T18" s="26">
        <f aca="true" t="shared" si="26" ref="T18:T23">IF(S18&lt;0,S18+360,S18)</f>
        <v>303.73333333333335</v>
      </c>
      <c r="U18" s="26">
        <f>T18+ASC</f>
        <v>573.4833333333333</v>
      </c>
      <c r="V18" s="26">
        <f aca="true" t="shared" si="27" ref="V18:V23">IF(U18&gt;360,U18-360,U18)</f>
        <v>213.48333333333335</v>
      </c>
      <c r="W18" s="29">
        <f>POF-POS</f>
        <v>56.26666666666665</v>
      </c>
      <c r="X18" s="26">
        <f>IF(W18&lt;0,W18+360,W18)</f>
        <v>56.26666666666665</v>
      </c>
      <c r="Y18" s="26">
        <f>X18+ASC</f>
        <v>326.01666666666665</v>
      </c>
      <c r="Z18" s="26">
        <f>IF(Y18&gt;360,Y18-360,Y18)</f>
        <v>326.01666666666665</v>
      </c>
      <c r="AA18" s="29">
        <f>IF(SECT="D",V18,Z18)</f>
        <v>326.01666666666665</v>
      </c>
      <c r="AB18" s="19">
        <f aca="true" t="shared" si="28" ref="AB18:AB23">TRUNC(AA18)-VLOOKUP(AC18,SIGNS,3)</f>
        <v>26</v>
      </c>
      <c r="AC18">
        <f aca="true" t="shared" si="29" ref="AC18:AC23">TRUNC(AA18/30)+1</f>
        <v>11</v>
      </c>
      <c r="AD18" t="str">
        <f aca="true" t="shared" si="30" ref="AD18:AD23">VLOOKUP(AC18,SIGNS,2)</f>
        <v>AQ</v>
      </c>
      <c r="AE18">
        <f aca="true" t="shared" si="31" ref="AE18:AE23">(AA18-TRUNC(AA18))*60</f>
        <v>0.9999999999990905</v>
      </c>
      <c r="AF18" s="19"/>
    </row>
    <row r="19" spans="2:32" ht="12.75">
      <c r="B19" s="40">
        <v>1</v>
      </c>
      <c r="C19" s="7" t="s">
        <v>157</v>
      </c>
      <c r="D19" s="9" t="s">
        <v>796</v>
      </c>
      <c r="E19" s="7" t="s">
        <v>9</v>
      </c>
      <c r="F19" s="7" t="s">
        <v>12</v>
      </c>
      <c r="G19" s="9" t="s">
        <v>14</v>
      </c>
      <c r="H19" s="7" t="str">
        <f t="shared" si="19"/>
        <v>2AR10</v>
      </c>
      <c r="I19" s="20" t="str">
        <f t="shared" si="20"/>
        <v>27VI50</v>
      </c>
      <c r="K19">
        <f t="shared" si="21"/>
        <v>2</v>
      </c>
      <c r="L19" t="str">
        <f t="shared" si="22"/>
        <v>AR</v>
      </c>
      <c r="M19">
        <f t="shared" si="22"/>
        <v>9.999999999997726</v>
      </c>
      <c r="O19">
        <f t="shared" si="23"/>
        <v>27</v>
      </c>
      <c r="P19" t="str">
        <f t="shared" si="24"/>
        <v>VI</v>
      </c>
      <c r="Q19">
        <f t="shared" si="25"/>
        <v>50.000000000002274</v>
      </c>
      <c r="S19" s="29">
        <f>MA-POF</f>
        <v>-92.41666666666666</v>
      </c>
      <c r="T19" s="26">
        <f t="shared" si="26"/>
        <v>267.58333333333337</v>
      </c>
      <c r="U19" s="26">
        <f>T19+ASC</f>
        <v>537.3333333333334</v>
      </c>
      <c r="V19" s="26">
        <f t="shared" si="27"/>
        <v>177.33333333333337</v>
      </c>
      <c r="W19" s="29">
        <f>POF-MA</f>
        <v>92.41666666666666</v>
      </c>
      <c r="X19" s="26">
        <f>IF(W19&lt;0,W19+360,W19)</f>
        <v>92.41666666666666</v>
      </c>
      <c r="Y19" s="26">
        <f>X19+ASC</f>
        <v>362.16666666666663</v>
      </c>
      <c r="Z19" s="26">
        <f>IF(Y19&gt;360,Y19-360,Y19)</f>
        <v>2.1666666666666288</v>
      </c>
      <c r="AA19" s="29">
        <f>IF(SECT="D",V19,Z19)</f>
        <v>2.1666666666666288</v>
      </c>
      <c r="AB19" s="19">
        <f t="shared" si="28"/>
        <v>2</v>
      </c>
      <c r="AC19">
        <f t="shared" si="29"/>
        <v>1</v>
      </c>
      <c r="AD19" t="str">
        <f t="shared" si="30"/>
        <v>AR</v>
      </c>
      <c r="AE19">
        <f t="shared" si="31"/>
        <v>9.999999999997726</v>
      </c>
      <c r="AF19" s="19"/>
    </row>
    <row r="20" spans="1:32" ht="12.75">
      <c r="A20" s="72" t="s">
        <v>1157</v>
      </c>
      <c r="B20" s="19">
        <v>1</v>
      </c>
      <c r="C20" s="7" t="s">
        <v>386</v>
      </c>
      <c r="D20" s="7" t="s">
        <v>10</v>
      </c>
      <c r="E20" s="7" t="s">
        <v>5</v>
      </c>
      <c r="F20" s="7" t="s">
        <v>12</v>
      </c>
      <c r="G20" s="9" t="s">
        <v>14</v>
      </c>
      <c r="H20" s="7" t="str">
        <f t="shared" si="19"/>
        <v>18AR40</v>
      </c>
      <c r="I20" s="20" t="str">
        <f t="shared" si="20"/>
        <v>11VI20</v>
      </c>
      <c r="K20">
        <f t="shared" si="21"/>
        <v>18</v>
      </c>
      <c r="L20" t="str">
        <f t="shared" si="22"/>
        <v>AR</v>
      </c>
      <c r="M20">
        <f t="shared" si="22"/>
        <v>40.00000000000114</v>
      </c>
      <c r="O20">
        <f t="shared" si="23"/>
        <v>11</v>
      </c>
      <c r="P20" t="str">
        <f t="shared" si="24"/>
        <v>VI</v>
      </c>
      <c r="Q20">
        <f t="shared" si="25"/>
        <v>19.999999999998863</v>
      </c>
      <c r="S20" s="29">
        <f>SA-JU</f>
        <v>-108.91666666666669</v>
      </c>
      <c r="T20" s="26">
        <f t="shared" si="26"/>
        <v>251.08333333333331</v>
      </c>
      <c r="U20" s="26">
        <f>T20+ASC</f>
        <v>520.8333333333333</v>
      </c>
      <c r="V20" s="26">
        <f t="shared" si="27"/>
        <v>160.83333333333326</v>
      </c>
      <c r="W20" s="29">
        <f>JU-SA</f>
        <v>108.91666666666669</v>
      </c>
      <c r="X20" s="26">
        <f>IF(W20&lt;0,W20+360,W20)</f>
        <v>108.91666666666669</v>
      </c>
      <c r="Y20" s="26">
        <f>X20+ASC</f>
        <v>378.6666666666667</v>
      </c>
      <c r="Z20" s="26">
        <f>IF(Y20&gt;360,Y20-360,Y20)</f>
        <v>18.666666666666686</v>
      </c>
      <c r="AA20" s="29">
        <f>IF(SECT="D",V20,Z20)</f>
        <v>18.666666666666686</v>
      </c>
      <c r="AB20" s="19">
        <f t="shared" si="28"/>
        <v>18</v>
      </c>
      <c r="AC20">
        <f t="shared" si="29"/>
        <v>1</v>
      </c>
      <c r="AD20" t="str">
        <f t="shared" si="30"/>
        <v>AR</v>
      </c>
      <c r="AE20">
        <f t="shared" si="31"/>
        <v>40.00000000000114</v>
      </c>
      <c r="AF20" s="19"/>
    </row>
    <row r="21" spans="1:32" ht="12.75">
      <c r="A21" s="72" t="s">
        <v>1158</v>
      </c>
      <c r="B21" s="19">
        <v>1</v>
      </c>
      <c r="C21" s="7" t="s">
        <v>119</v>
      </c>
      <c r="D21" s="7" t="s">
        <v>114</v>
      </c>
      <c r="E21" s="7" t="s">
        <v>8</v>
      </c>
      <c r="F21" s="7" t="s">
        <v>12</v>
      </c>
      <c r="G21" s="36" t="s">
        <v>13</v>
      </c>
      <c r="H21" s="7" t="str">
        <f t="shared" si="19"/>
        <v>13GE34</v>
      </c>
      <c r="I21" s="20" t="str">
        <f t="shared" si="20"/>
        <v>16CA26</v>
      </c>
      <c r="K21">
        <f t="shared" si="21"/>
        <v>13</v>
      </c>
      <c r="L21" t="str">
        <f t="shared" si="22"/>
        <v>GE</v>
      </c>
      <c r="M21">
        <f t="shared" si="22"/>
        <v>33.99999999999977</v>
      </c>
      <c r="O21">
        <f t="shared" si="23"/>
        <v>16</v>
      </c>
      <c r="P21" t="str">
        <f t="shared" si="24"/>
        <v>CA</v>
      </c>
      <c r="Q21">
        <f t="shared" si="25"/>
        <v>26.000000000000227</v>
      </c>
      <c r="S21" s="29">
        <f>MOON-SANS</f>
        <v>163.81666666666666</v>
      </c>
      <c r="T21" s="26">
        <f t="shared" si="26"/>
        <v>163.81666666666666</v>
      </c>
      <c r="U21" s="26">
        <f>T21+ASC</f>
        <v>433.56666666666666</v>
      </c>
      <c r="V21" s="26">
        <f t="shared" si="27"/>
        <v>73.56666666666666</v>
      </c>
      <c r="W21" s="29"/>
      <c r="X21" s="26"/>
      <c r="Y21" s="26"/>
      <c r="Z21" s="26"/>
      <c r="AA21" s="29">
        <f>V21</f>
        <v>73.56666666666666</v>
      </c>
      <c r="AB21" s="19">
        <f t="shared" si="28"/>
        <v>13</v>
      </c>
      <c r="AC21">
        <f t="shared" si="29"/>
        <v>3</v>
      </c>
      <c r="AD21" t="str">
        <f t="shared" si="30"/>
        <v>GE</v>
      </c>
      <c r="AE21">
        <f t="shared" si="31"/>
        <v>33.99999999999977</v>
      </c>
      <c r="AF21" s="19"/>
    </row>
    <row r="22" spans="1:32" ht="12.75">
      <c r="A22" s="72" t="s">
        <v>1159</v>
      </c>
      <c r="B22" s="19">
        <v>1</v>
      </c>
      <c r="C22" s="9" t="s">
        <v>838</v>
      </c>
      <c r="D22" s="7" t="s">
        <v>5</v>
      </c>
      <c r="E22" s="7" t="s">
        <v>9</v>
      </c>
      <c r="F22" s="7" t="s">
        <v>50</v>
      </c>
      <c r="G22" s="9" t="s">
        <v>14</v>
      </c>
      <c r="H22" s="7" t="str">
        <f t="shared" si="19"/>
        <v>17AR46</v>
      </c>
      <c r="I22" s="20" t="str">
        <f t="shared" si="20"/>
        <v>12VI14</v>
      </c>
      <c r="K22">
        <f t="shared" si="21"/>
        <v>17</v>
      </c>
      <c r="L22" t="str">
        <f t="shared" si="22"/>
        <v>AR</v>
      </c>
      <c r="M22">
        <f t="shared" si="22"/>
        <v>45.99999999999909</v>
      </c>
      <c r="O22">
        <f t="shared" si="23"/>
        <v>12</v>
      </c>
      <c r="P22" t="str">
        <f t="shared" si="24"/>
        <v>VI</v>
      </c>
      <c r="Q22">
        <f t="shared" si="25"/>
        <v>14.00000000000091</v>
      </c>
      <c r="S22" s="29">
        <f>MA-SA</f>
        <v>-37.66666666666666</v>
      </c>
      <c r="T22" s="26">
        <f t="shared" si="26"/>
        <v>322.33333333333337</v>
      </c>
      <c r="U22" s="26">
        <f>T22+ME</f>
        <v>662.4333333333334</v>
      </c>
      <c r="V22" s="26">
        <f t="shared" si="27"/>
        <v>302.4333333333334</v>
      </c>
      <c r="W22" s="29">
        <f>SA-MA</f>
        <v>37.66666666666666</v>
      </c>
      <c r="X22" s="26">
        <f>IF(W22&lt;0,W22+360,W22)</f>
        <v>37.66666666666666</v>
      </c>
      <c r="Y22" s="26">
        <f>X22+ME</f>
        <v>377.76666666666665</v>
      </c>
      <c r="Z22" s="26">
        <f>IF(Y22&gt;360,Y22-360,Y22)</f>
        <v>17.76666666666665</v>
      </c>
      <c r="AA22" s="29">
        <f>IF(SECT="D",V22,Z22)</f>
        <v>17.76666666666665</v>
      </c>
      <c r="AB22" s="19">
        <f t="shared" si="28"/>
        <v>17</v>
      </c>
      <c r="AC22">
        <f t="shared" si="29"/>
        <v>1</v>
      </c>
      <c r="AD22" t="str">
        <f t="shared" si="30"/>
        <v>AR</v>
      </c>
      <c r="AE22">
        <f t="shared" si="31"/>
        <v>45.99999999999909</v>
      </c>
      <c r="AF22" s="19"/>
    </row>
    <row r="23" spans="2:32" ht="12.75">
      <c r="B23" s="47">
        <v>1</v>
      </c>
      <c r="C23" s="48" t="s">
        <v>118</v>
      </c>
      <c r="D23" s="48" t="s">
        <v>50</v>
      </c>
      <c r="E23" s="48" t="s">
        <v>9</v>
      </c>
      <c r="F23" s="48" t="s">
        <v>12</v>
      </c>
      <c r="G23" s="52" t="s">
        <v>14</v>
      </c>
      <c r="H23" s="48" t="str">
        <f t="shared" si="19"/>
        <v>14TA23</v>
      </c>
      <c r="I23" s="50" t="str">
        <f t="shared" si="20"/>
        <v>15LE37</v>
      </c>
      <c r="K23">
        <f t="shared" si="21"/>
        <v>14</v>
      </c>
      <c r="L23" t="str">
        <f t="shared" si="22"/>
        <v>TA</v>
      </c>
      <c r="M23">
        <f t="shared" si="22"/>
        <v>22.999999999999545</v>
      </c>
      <c r="O23">
        <f t="shared" si="23"/>
        <v>15</v>
      </c>
      <c r="P23" t="str">
        <f t="shared" si="24"/>
        <v>LE</v>
      </c>
      <c r="Q23">
        <f t="shared" si="25"/>
        <v>37.000000000000455</v>
      </c>
      <c r="S23" s="29">
        <f>MA-ME</f>
        <v>-134.63333333333335</v>
      </c>
      <c r="T23" s="26">
        <f t="shared" si="26"/>
        <v>225.36666666666665</v>
      </c>
      <c r="U23" s="26">
        <f>T23+ASC</f>
        <v>495.1166666666667</v>
      </c>
      <c r="V23" s="26">
        <f t="shared" si="27"/>
        <v>135.11666666666667</v>
      </c>
      <c r="W23" s="29">
        <f>ME-MA</f>
        <v>134.63333333333335</v>
      </c>
      <c r="X23" s="26">
        <f>IF(W23&lt;0,W23+360,W23)</f>
        <v>134.63333333333335</v>
      </c>
      <c r="Y23" s="26">
        <f>X23+ASC</f>
        <v>404.3833333333333</v>
      </c>
      <c r="Z23" s="26">
        <f>IF(Y23&gt;360,Y23-360,Y23)</f>
        <v>44.383333333333326</v>
      </c>
      <c r="AA23" s="29">
        <f>IF(SECT="D",V23,Z23)</f>
        <v>44.383333333333326</v>
      </c>
      <c r="AB23" s="19">
        <f t="shared" si="28"/>
        <v>14</v>
      </c>
      <c r="AC23">
        <f t="shared" si="29"/>
        <v>2</v>
      </c>
      <c r="AD23" t="str">
        <f t="shared" si="30"/>
        <v>TA</v>
      </c>
      <c r="AE23">
        <f t="shared" si="31"/>
        <v>22.999999999999545</v>
      </c>
      <c r="AF23" s="19"/>
    </row>
    <row r="24" spans="2:32" ht="6" customHeight="1">
      <c r="B24" s="19"/>
      <c r="C24" s="7"/>
      <c r="D24" s="7"/>
      <c r="E24" s="7"/>
      <c r="F24" s="7"/>
      <c r="G24" s="9"/>
      <c r="H24" s="7"/>
      <c r="I24" s="20"/>
      <c r="S24" s="29"/>
      <c r="T24" s="26"/>
      <c r="U24" s="26"/>
      <c r="V24" s="26"/>
      <c r="W24" s="29"/>
      <c r="X24" s="26"/>
      <c r="Y24" s="26"/>
      <c r="Z24" s="26"/>
      <c r="AA24" s="29"/>
      <c r="AB24" s="19"/>
      <c r="AF24" s="19"/>
    </row>
    <row r="25" spans="1:32" ht="12.75">
      <c r="A25" s="72" t="s">
        <v>1160</v>
      </c>
      <c r="B25" s="43">
        <v>2</v>
      </c>
      <c r="C25" s="45" t="s">
        <v>863</v>
      </c>
      <c r="D25" s="44" t="s">
        <v>391</v>
      </c>
      <c r="E25" s="44" t="s">
        <v>392</v>
      </c>
      <c r="F25" s="44" t="s">
        <v>12</v>
      </c>
      <c r="G25" s="51" t="s">
        <v>13</v>
      </c>
      <c r="H25" s="44" t="str">
        <f>CONCATENATE(TEXT(K25,0),L25,TEXT(M25,0))</f>
        <v>0PI31</v>
      </c>
      <c r="I25" s="46" t="str">
        <f aca="true" t="shared" si="32" ref="I25:I79">CONCATENATE(TEXT(O25,0),P25,TEXT(Q25,0))</f>
        <v>29LI29</v>
      </c>
      <c r="K25">
        <f aca="true" t="shared" si="33" ref="K25:K84">AB25</f>
        <v>0</v>
      </c>
      <c r="L25" t="str">
        <f aca="true" t="shared" si="34" ref="L25:L84">AD25</f>
        <v>PI</v>
      </c>
      <c r="M25">
        <f aca="true" t="shared" si="35" ref="M25:M84">AE25</f>
        <v>30.99999999999909</v>
      </c>
      <c r="O25">
        <f aca="true" t="shared" si="36" ref="O25:O84">29-K25</f>
        <v>29</v>
      </c>
      <c r="P25" t="str">
        <f>VLOOKUP(AC25,SIGNS,4)</f>
        <v>LI</v>
      </c>
      <c r="Q25">
        <f aca="true" t="shared" si="37" ref="Q25:Q84">60-M25</f>
        <v>29.00000000000091</v>
      </c>
      <c r="S25" s="29">
        <f>CUSP2-LORD2</f>
        <v>60.76666666666665</v>
      </c>
      <c r="T25" s="26">
        <f aca="true" t="shared" si="38" ref="T25:T84">IF(S25&lt;0,S25+360,S25)</f>
        <v>60.76666666666665</v>
      </c>
      <c r="U25" s="26">
        <f>T25+ASC</f>
        <v>330.51666666666665</v>
      </c>
      <c r="V25" s="26">
        <f aca="true" t="shared" si="39" ref="V25:V79">IF(U25&gt;360,U25-360,U25)</f>
        <v>330.51666666666665</v>
      </c>
      <c r="W25" s="29"/>
      <c r="X25" s="26"/>
      <c r="Y25" s="26"/>
      <c r="Z25" s="26"/>
      <c r="AA25" s="29">
        <f>V25</f>
        <v>330.51666666666665</v>
      </c>
      <c r="AB25" s="19">
        <f>TRUNC(AA25)-VLOOKUP(AC25,SIGNS,3)</f>
        <v>0</v>
      </c>
      <c r="AC25">
        <f aca="true" t="shared" si="40" ref="AC25:AC84">TRUNC(AA25/30)+1</f>
        <v>12</v>
      </c>
      <c r="AD25" t="str">
        <f>VLOOKUP(AC25,SIGNS,2)</f>
        <v>PI</v>
      </c>
      <c r="AE25">
        <f aca="true" t="shared" si="41" ref="AE25:AE84">(AA25-TRUNC(AA25))*60</f>
        <v>30.99999999999909</v>
      </c>
      <c r="AF25" s="19"/>
    </row>
    <row r="26" spans="2:32" ht="12.75">
      <c r="B26" s="19">
        <v>2</v>
      </c>
      <c r="C26" s="7" t="s">
        <v>121</v>
      </c>
      <c r="D26" s="7" t="s">
        <v>5</v>
      </c>
      <c r="E26" s="7" t="s">
        <v>50</v>
      </c>
      <c r="F26" s="7" t="s">
        <v>12</v>
      </c>
      <c r="G26" s="36" t="s">
        <v>13</v>
      </c>
      <c r="H26" s="7" t="str">
        <f>CONCATENATE(TEXT(K26,0),L26,TEXT(M26,0))</f>
        <v>6AR43</v>
      </c>
      <c r="I26" s="20" t="str">
        <f t="shared" si="32"/>
        <v>23VI17</v>
      </c>
      <c r="K26">
        <f t="shared" si="33"/>
        <v>6</v>
      </c>
      <c r="L26" t="str">
        <f t="shared" si="34"/>
        <v>AR</v>
      </c>
      <c r="M26">
        <f t="shared" si="35"/>
        <v>43.00000000000182</v>
      </c>
      <c r="O26">
        <f t="shared" si="36"/>
        <v>23</v>
      </c>
      <c r="P26" t="str">
        <f>VLOOKUP(AC26,SIGNS,4)</f>
        <v>VI</v>
      </c>
      <c r="Q26">
        <f t="shared" si="37"/>
        <v>16.99999999999818</v>
      </c>
      <c r="S26" s="29">
        <f>ME-SA</f>
        <v>96.9666666666667</v>
      </c>
      <c r="T26" s="26">
        <f t="shared" si="38"/>
        <v>96.9666666666667</v>
      </c>
      <c r="U26" s="26">
        <f>T26+ASC</f>
        <v>366.7166666666667</v>
      </c>
      <c r="V26" s="26">
        <f t="shared" si="39"/>
        <v>6.716666666666697</v>
      </c>
      <c r="W26" s="29"/>
      <c r="X26" s="26"/>
      <c r="Y26" s="26"/>
      <c r="Z26" s="26"/>
      <c r="AA26" s="29">
        <f>V26</f>
        <v>6.716666666666697</v>
      </c>
      <c r="AB26" s="19">
        <f>TRUNC(AA26)-VLOOKUP(AC26,SIGNS,3)</f>
        <v>6</v>
      </c>
      <c r="AC26">
        <f t="shared" si="40"/>
        <v>1</v>
      </c>
      <c r="AD26" t="str">
        <f>VLOOKUP(AC26,SIGNS,2)</f>
        <v>AR</v>
      </c>
      <c r="AE26">
        <f t="shared" si="41"/>
        <v>43.00000000000182</v>
      </c>
      <c r="AF26" s="19"/>
    </row>
    <row r="27" spans="2:32" ht="12.75">
      <c r="B27" s="19">
        <v>2</v>
      </c>
      <c r="C27" s="7" t="s">
        <v>122</v>
      </c>
      <c r="D27" s="7" t="s">
        <v>5</v>
      </c>
      <c r="E27" s="7" t="s">
        <v>10</v>
      </c>
      <c r="F27" s="7" t="s">
        <v>12</v>
      </c>
      <c r="G27" s="9" t="s">
        <v>14</v>
      </c>
      <c r="H27" s="7" t="str">
        <f>CONCATENATE(TEXT(K27,0),L27,TEXT(M27,0))</f>
        <v>10VI50</v>
      </c>
      <c r="I27" s="20" t="str">
        <f t="shared" si="32"/>
        <v>19AR10</v>
      </c>
      <c r="K27">
        <f t="shared" si="33"/>
        <v>10</v>
      </c>
      <c r="L27" t="str">
        <f t="shared" si="34"/>
        <v>VI</v>
      </c>
      <c r="M27">
        <f t="shared" si="35"/>
        <v>49.99999999999545</v>
      </c>
      <c r="O27">
        <f t="shared" si="36"/>
        <v>19</v>
      </c>
      <c r="P27" t="str">
        <f>VLOOKUP(AC27,SIGNS,4)</f>
        <v>AR</v>
      </c>
      <c r="Q27">
        <f t="shared" si="37"/>
        <v>10.000000000004547</v>
      </c>
      <c r="S27" s="29">
        <f>JU-SA</f>
        <v>108.91666666666669</v>
      </c>
      <c r="T27" s="26">
        <f t="shared" si="38"/>
        <v>108.91666666666669</v>
      </c>
      <c r="U27" s="26">
        <f>T27+ASC</f>
        <v>378.6666666666667</v>
      </c>
      <c r="V27" s="26">
        <f t="shared" si="39"/>
        <v>18.666666666666686</v>
      </c>
      <c r="W27" s="29">
        <f>SA-JU</f>
        <v>-108.91666666666669</v>
      </c>
      <c r="X27" s="26">
        <f>IF(W27&lt;0,W27+360,W27)</f>
        <v>251.08333333333331</v>
      </c>
      <c r="Y27" s="26">
        <f>X27+ASC</f>
        <v>520.8333333333333</v>
      </c>
      <c r="Z27" s="26">
        <f>IF(Y27&gt;360,Y27-360,Y27)</f>
        <v>160.83333333333326</v>
      </c>
      <c r="AA27" s="29">
        <f>IF(SECT="D",V27,Z27)</f>
        <v>160.83333333333326</v>
      </c>
      <c r="AB27" s="19">
        <f>TRUNC(AA27)-VLOOKUP(AC27,SIGNS,3)</f>
        <v>10</v>
      </c>
      <c r="AC27">
        <f t="shared" si="40"/>
        <v>6</v>
      </c>
      <c r="AD27" t="str">
        <f>VLOOKUP(AC27,SIGNS,2)</f>
        <v>VI</v>
      </c>
      <c r="AE27">
        <f t="shared" si="41"/>
        <v>49.99999999999545</v>
      </c>
      <c r="AF27" s="19"/>
    </row>
    <row r="28" spans="2:32" ht="12.75">
      <c r="B28" s="47">
        <v>2</v>
      </c>
      <c r="C28" s="48" t="s">
        <v>123</v>
      </c>
      <c r="D28" s="48" t="s">
        <v>50</v>
      </c>
      <c r="E28" s="48" t="s">
        <v>7</v>
      </c>
      <c r="F28" s="48" t="s">
        <v>12</v>
      </c>
      <c r="G28" s="52" t="s">
        <v>14</v>
      </c>
      <c r="H28" s="48" t="str">
        <f>CONCATENATE(TEXT(K28,0),L28,TEXT(M28,0))</f>
        <v>2SA33</v>
      </c>
      <c r="I28" s="50" t="str">
        <f t="shared" si="32"/>
        <v>27CP27</v>
      </c>
      <c r="K28">
        <f t="shared" si="33"/>
        <v>2</v>
      </c>
      <c r="L28" t="str">
        <f t="shared" si="34"/>
        <v>SA</v>
      </c>
      <c r="M28">
        <f t="shared" si="35"/>
        <v>32.99999999999727</v>
      </c>
      <c r="O28">
        <f t="shared" si="36"/>
        <v>27</v>
      </c>
      <c r="P28" t="str">
        <f>VLOOKUP(AC28,SIGNS,4)</f>
        <v>CP</v>
      </c>
      <c r="Q28">
        <f t="shared" si="37"/>
        <v>27.00000000000273</v>
      </c>
      <c r="S28" s="29">
        <f>VE-ME</f>
        <v>-332.8</v>
      </c>
      <c r="T28" s="26">
        <f t="shared" si="38"/>
        <v>27.19999999999999</v>
      </c>
      <c r="U28" s="26">
        <f>T28+ASC</f>
        <v>296.95</v>
      </c>
      <c r="V28" s="26">
        <f t="shared" si="39"/>
        <v>296.95</v>
      </c>
      <c r="W28" s="29">
        <f>ME-VE</f>
        <v>332.8</v>
      </c>
      <c r="X28" s="26">
        <f>IF(W28&lt;0,W28+360,W28)</f>
        <v>332.8</v>
      </c>
      <c r="Y28" s="26">
        <f>X28+ASC</f>
        <v>602.55</v>
      </c>
      <c r="Z28" s="26">
        <f>IF(Y28&gt;360,Y28-360,Y28)</f>
        <v>242.54999999999995</v>
      </c>
      <c r="AA28" s="29">
        <f>IF(SECT="D",V28,Z28)</f>
        <v>242.54999999999995</v>
      </c>
      <c r="AB28" s="19">
        <f>TRUNC(AA28)-VLOOKUP(AC28,SIGNS,3)</f>
        <v>2</v>
      </c>
      <c r="AC28">
        <f t="shared" si="40"/>
        <v>9</v>
      </c>
      <c r="AD28" t="str">
        <f>VLOOKUP(AC28,SIGNS,2)</f>
        <v>SA</v>
      </c>
      <c r="AE28">
        <f t="shared" si="41"/>
        <v>32.99999999999727</v>
      </c>
      <c r="AF28" s="19"/>
    </row>
    <row r="29" spans="2:32" ht="6" customHeight="1">
      <c r="B29" s="19"/>
      <c r="C29" s="7"/>
      <c r="D29" s="7"/>
      <c r="E29" s="7"/>
      <c r="F29" s="7"/>
      <c r="G29" s="9"/>
      <c r="H29" s="7"/>
      <c r="I29" s="20"/>
      <c r="S29" s="29"/>
      <c r="T29" s="26"/>
      <c r="U29" s="26"/>
      <c r="V29" s="26"/>
      <c r="W29" s="29"/>
      <c r="X29" s="26"/>
      <c r="Y29" s="26"/>
      <c r="Z29" s="26"/>
      <c r="AA29" s="29"/>
      <c r="AB29" s="19"/>
      <c r="AF29" s="19"/>
    </row>
    <row r="30" spans="1:32" ht="12.75">
      <c r="A30" s="72" t="s">
        <v>1161</v>
      </c>
      <c r="B30" s="43">
        <v>3</v>
      </c>
      <c r="C30" s="44" t="s">
        <v>124</v>
      </c>
      <c r="D30" s="44" t="s">
        <v>5</v>
      </c>
      <c r="E30" s="44" t="s">
        <v>10</v>
      </c>
      <c r="F30" s="44" t="s">
        <v>12</v>
      </c>
      <c r="G30" s="51" t="s">
        <v>13</v>
      </c>
      <c r="H30" s="44" t="str">
        <f>CONCATENATE(TEXT(K30,0),L30,TEXT(M30,0))</f>
        <v>18AR40</v>
      </c>
      <c r="I30" s="46" t="str">
        <f t="shared" si="32"/>
        <v>11VI20</v>
      </c>
      <c r="K30">
        <f t="shared" si="33"/>
        <v>18</v>
      </c>
      <c r="L30" t="str">
        <f t="shared" si="34"/>
        <v>AR</v>
      </c>
      <c r="M30">
        <f t="shared" si="35"/>
        <v>40.00000000000114</v>
      </c>
      <c r="O30">
        <f t="shared" si="36"/>
        <v>11</v>
      </c>
      <c r="P30" t="str">
        <f>VLOOKUP(AC30,SIGNS,4)</f>
        <v>VI</v>
      </c>
      <c r="Q30">
        <f t="shared" si="37"/>
        <v>19.999999999998863</v>
      </c>
      <c r="S30" s="29">
        <f>JU-SA</f>
        <v>108.91666666666669</v>
      </c>
      <c r="T30" s="26">
        <f t="shared" si="38"/>
        <v>108.91666666666669</v>
      </c>
      <c r="U30" s="26">
        <f>T30+ASC</f>
        <v>378.6666666666667</v>
      </c>
      <c r="V30" s="26">
        <f t="shared" si="39"/>
        <v>18.666666666666686</v>
      </c>
      <c r="W30" s="29"/>
      <c r="X30" s="26"/>
      <c r="Y30" s="26"/>
      <c r="Z30" s="26"/>
      <c r="AA30" s="29">
        <f>V30</f>
        <v>18.666666666666686</v>
      </c>
      <c r="AB30" s="19">
        <f>TRUNC(AA30)-VLOOKUP(AC30,SIGNS,3)</f>
        <v>18</v>
      </c>
      <c r="AC30">
        <f t="shared" si="40"/>
        <v>1</v>
      </c>
      <c r="AD30" t="str">
        <f>VLOOKUP(AC30,SIGNS,2)</f>
        <v>AR</v>
      </c>
      <c r="AE30">
        <f t="shared" si="41"/>
        <v>40.00000000000114</v>
      </c>
      <c r="AF30" s="19"/>
    </row>
    <row r="31" spans="2:32" ht="12.75">
      <c r="B31" s="19">
        <v>3</v>
      </c>
      <c r="C31" s="7" t="s">
        <v>125</v>
      </c>
      <c r="D31" s="7" t="s">
        <v>50</v>
      </c>
      <c r="E31" s="7" t="s">
        <v>5</v>
      </c>
      <c r="F31" s="7" t="s">
        <v>12</v>
      </c>
      <c r="G31" s="36" t="s">
        <v>13</v>
      </c>
      <c r="H31" s="7" t="str">
        <f>CONCATENATE(TEXT(K31,0),L31,TEXT(M31,0))</f>
        <v>22VI47</v>
      </c>
      <c r="I31" s="20" t="str">
        <f t="shared" si="32"/>
        <v>7AR13</v>
      </c>
      <c r="K31">
        <f t="shared" si="33"/>
        <v>22</v>
      </c>
      <c r="L31" t="str">
        <f t="shared" si="34"/>
        <v>VI</v>
      </c>
      <c r="M31">
        <f t="shared" si="35"/>
        <v>46.99999999999818</v>
      </c>
      <c r="O31">
        <f t="shared" si="36"/>
        <v>7</v>
      </c>
      <c r="P31" t="str">
        <f>VLOOKUP(AC31,SIGNS,4)</f>
        <v>AR</v>
      </c>
      <c r="Q31">
        <f t="shared" si="37"/>
        <v>13.000000000001819</v>
      </c>
      <c r="S31" s="29">
        <f>SA-ME</f>
        <v>-96.9666666666667</v>
      </c>
      <c r="T31" s="26">
        <f t="shared" si="38"/>
        <v>263.0333333333333</v>
      </c>
      <c r="U31" s="26">
        <f>T31+ASC</f>
        <v>532.7833333333333</v>
      </c>
      <c r="V31" s="26">
        <f t="shared" si="39"/>
        <v>172.7833333333333</v>
      </c>
      <c r="W31" s="29"/>
      <c r="X31" s="26"/>
      <c r="Y31" s="26"/>
      <c r="Z31" s="26"/>
      <c r="AA31" s="29">
        <f>V31</f>
        <v>172.7833333333333</v>
      </c>
      <c r="AB31" s="19">
        <f>TRUNC(AA31)-VLOOKUP(AC31,SIGNS,3)</f>
        <v>22</v>
      </c>
      <c r="AC31">
        <f t="shared" si="40"/>
        <v>6</v>
      </c>
      <c r="AD31" t="str">
        <f>VLOOKUP(AC31,SIGNS,2)</f>
        <v>VI</v>
      </c>
      <c r="AE31">
        <f t="shared" si="41"/>
        <v>46.99999999999818</v>
      </c>
      <c r="AF31" s="19"/>
    </row>
    <row r="32" spans="1:32" ht="12.75">
      <c r="A32" s="72" t="s">
        <v>1162</v>
      </c>
      <c r="B32" s="47">
        <v>3</v>
      </c>
      <c r="C32" s="52" t="s">
        <v>869</v>
      </c>
      <c r="D32" s="48" t="s">
        <v>6</v>
      </c>
      <c r="E32" s="48" t="s">
        <v>262</v>
      </c>
      <c r="F32" s="48" t="s">
        <v>12</v>
      </c>
      <c r="G32" s="52" t="s">
        <v>14</v>
      </c>
      <c r="H32" s="48" t="str">
        <f>CONCATENATE(TEXT(K32,0),L32,TEXT(M32,0))</f>
        <v>2TA14</v>
      </c>
      <c r="I32" s="50" t="str">
        <f t="shared" si="32"/>
        <v>27LE46</v>
      </c>
      <c r="K32">
        <f t="shared" si="33"/>
        <v>2</v>
      </c>
      <c r="L32" t="str">
        <f t="shared" si="34"/>
        <v>TA</v>
      </c>
      <c r="M32">
        <f t="shared" si="35"/>
        <v>14.00000000000091</v>
      </c>
      <c r="O32">
        <f t="shared" si="36"/>
        <v>27</v>
      </c>
      <c r="P32" t="str">
        <f>VLOOKUP(AC32,SIGNS,4)</f>
        <v>LE</v>
      </c>
      <c r="Q32">
        <f t="shared" si="37"/>
        <v>45.99999999999909</v>
      </c>
      <c r="S32" s="29">
        <f>MC-SUN</f>
        <v>-122.48333333333332</v>
      </c>
      <c r="T32" s="26">
        <f t="shared" si="38"/>
        <v>237.51666666666668</v>
      </c>
      <c r="U32" s="26">
        <f>T32+ASC</f>
        <v>507.26666666666665</v>
      </c>
      <c r="V32" s="26">
        <f t="shared" si="39"/>
        <v>147.26666666666665</v>
      </c>
      <c r="W32" s="29">
        <f>SUN-MC</f>
        <v>122.48333333333332</v>
      </c>
      <c r="X32" s="26">
        <f>IF(W32&lt;0,W32+360,W32)</f>
        <v>122.48333333333332</v>
      </c>
      <c r="Y32" s="26">
        <f>X32+ASC</f>
        <v>392.23333333333335</v>
      </c>
      <c r="Z32" s="26">
        <f>IF(Y32&gt;360,Y32-360,Y32)</f>
        <v>32.23333333333335</v>
      </c>
      <c r="AA32" s="29">
        <f>IF(SECT="D",V32,Z32)</f>
        <v>32.23333333333335</v>
      </c>
      <c r="AB32" s="19">
        <f>TRUNC(AA32)-VLOOKUP(AC32,SIGNS,3)</f>
        <v>2</v>
      </c>
      <c r="AC32">
        <f t="shared" si="40"/>
        <v>2</v>
      </c>
      <c r="AD32" t="str">
        <f>VLOOKUP(AC32,SIGNS,2)</f>
        <v>TA</v>
      </c>
      <c r="AE32">
        <f t="shared" si="41"/>
        <v>14.00000000000091</v>
      </c>
      <c r="AF32" s="19"/>
    </row>
    <row r="33" spans="2:32" ht="6" customHeight="1">
      <c r="B33" s="19"/>
      <c r="C33" s="7"/>
      <c r="D33" s="7"/>
      <c r="E33" s="7"/>
      <c r="F33" s="7"/>
      <c r="G33" s="36"/>
      <c r="H33" s="7"/>
      <c r="I33" s="20"/>
      <c r="S33" s="29"/>
      <c r="T33" s="26"/>
      <c r="U33" s="26"/>
      <c r="V33" s="26"/>
      <c r="W33" s="29"/>
      <c r="X33" s="26"/>
      <c r="Y33" s="26"/>
      <c r="Z33" s="26"/>
      <c r="AA33" s="29"/>
      <c r="AB33" s="19"/>
      <c r="AF33" s="19"/>
    </row>
    <row r="34" spans="1:32" ht="12.75">
      <c r="A34" s="72" t="s">
        <v>1163</v>
      </c>
      <c r="B34" s="43">
        <v>4</v>
      </c>
      <c r="C34" s="44" t="s">
        <v>126</v>
      </c>
      <c r="D34" s="44" t="s">
        <v>6</v>
      </c>
      <c r="E34" s="44" t="s">
        <v>5</v>
      </c>
      <c r="F34" s="44" t="s">
        <v>12</v>
      </c>
      <c r="G34" s="45" t="s">
        <v>14</v>
      </c>
      <c r="H34" s="44" t="str">
        <f aca="true" t="shared" si="42" ref="H34:H43">CONCATENATE(TEXT(K34,0),L34,TEXT(M34,0))</f>
        <v>19PI56</v>
      </c>
      <c r="I34" s="46" t="str">
        <f t="shared" si="32"/>
        <v>10LI4</v>
      </c>
      <c r="K34">
        <f t="shared" si="33"/>
        <v>19</v>
      </c>
      <c r="L34" t="str">
        <f t="shared" si="34"/>
        <v>PI</v>
      </c>
      <c r="M34">
        <f t="shared" si="35"/>
        <v>56.00000000000023</v>
      </c>
      <c r="O34">
        <f t="shared" si="36"/>
        <v>10</v>
      </c>
      <c r="P34" t="str">
        <f aca="true" t="shared" si="43" ref="P34:P43">VLOOKUP(AC34,SIGNS,4)</f>
        <v>LI</v>
      </c>
      <c r="Q34">
        <f t="shared" si="37"/>
        <v>3.9999999999997726</v>
      </c>
      <c r="S34" s="29">
        <f>SA-SUN</f>
        <v>-80.18333333333334</v>
      </c>
      <c r="T34" s="26">
        <f t="shared" si="38"/>
        <v>279.81666666666666</v>
      </c>
      <c r="U34" s="26">
        <f aca="true" t="shared" si="44" ref="U34:U39">T34+ASC</f>
        <v>549.5666666666666</v>
      </c>
      <c r="V34" s="26">
        <f t="shared" si="39"/>
        <v>189.5666666666666</v>
      </c>
      <c r="W34" s="29">
        <f>SUN-SA</f>
        <v>80.18333333333334</v>
      </c>
      <c r="X34" s="26">
        <f aca="true" t="shared" si="45" ref="X34:X39">IF(W34&lt;0,W34+360,W34)</f>
        <v>80.18333333333334</v>
      </c>
      <c r="Y34" s="26">
        <f aca="true" t="shared" si="46" ref="Y34:Y39">X34+ASC</f>
        <v>349.93333333333334</v>
      </c>
      <c r="Z34" s="26">
        <f aca="true" t="shared" si="47" ref="Z34:Z39">IF(Y34&gt;360,Y34-360,Y34)</f>
        <v>349.93333333333334</v>
      </c>
      <c r="AA34" s="29">
        <f aca="true" t="shared" si="48" ref="AA34:AA39">IF(SECT="D",V34,Z34)</f>
        <v>349.93333333333334</v>
      </c>
      <c r="AB34" s="19">
        <f aca="true" t="shared" si="49" ref="AB34:AB43">TRUNC(AA34)-VLOOKUP(AC34,SIGNS,3)</f>
        <v>19</v>
      </c>
      <c r="AC34">
        <f t="shared" si="40"/>
        <v>12</v>
      </c>
      <c r="AD34" t="str">
        <f aca="true" t="shared" si="50" ref="AD34:AD43">VLOOKUP(AC34,SIGNS,2)</f>
        <v>PI</v>
      </c>
      <c r="AE34">
        <f t="shared" si="41"/>
        <v>56.00000000000023</v>
      </c>
      <c r="AF34" s="19"/>
    </row>
    <row r="35" spans="1:32" ht="12.75">
      <c r="A35" s="72" t="s">
        <v>1164</v>
      </c>
      <c r="B35" s="19">
        <v>4</v>
      </c>
      <c r="C35" s="7" t="s">
        <v>127</v>
      </c>
      <c r="D35" s="7" t="s">
        <v>5</v>
      </c>
      <c r="E35" s="7" t="s">
        <v>10</v>
      </c>
      <c r="F35" s="7" t="s">
        <v>12</v>
      </c>
      <c r="G35" s="9" t="s">
        <v>14</v>
      </c>
      <c r="H35" s="7" t="str">
        <f t="shared" si="42"/>
        <v>10VI50</v>
      </c>
      <c r="I35" s="20" t="str">
        <f t="shared" si="32"/>
        <v>19AR10</v>
      </c>
      <c r="K35">
        <f t="shared" si="33"/>
        <v>10</v>
      </c>
      <c r="L35" t="str">
        <f t="shared" si="34"/>
        <v>VI</v>
      </c>
      <c r="M35">
        <f t="shared" si="35"/>
        <v>49.99999999999545</v>
      </c>
      <c r="O35">
        <f t="shared" si="36"/>
        <v>19</v>
      </c>
      <c r="P35" t="str">
        <f t="shared" si="43"/>
        <v>AR</v>
      </c>
      <c r="Q35">
        <f t="shared" si="37"/>
        <v>10.000000000004547</v>
      </c>
      <c r="S35" s="29">
        <f>JU-SA</f>
        <v>108.91666666666669</v>
      </c>
      <c r="T35" s="26">
        <f t="shared" si="38"/>
        <v>108.91666666666669</v>
      </c>
      <c r="U35" s="26">
        <f t="shared" si="44"/>
        <v>378.6666666666667</v>
      </c>
      <c r="V35" s="26">
        <f t="shared" si="39"/>
        <v>18.666666666666686</v>
      </c>
      <c r="W35" s="29">
        <f>SA-JU</f>
        <v>-108.91666666666669</v>
      </c>
      <c r="X35" s="26">
        <f t="shared" si="45"/>
        <v>251.08333333333331</v>
      </c>
      <c r="Y35" s="26">
        <f t="shared" si="46"/>
        <v>520.8333333333333</v>
      </c>
      <c r="Z35" s="26">
        <f t="shared" si="47"/>
        <v>160.83333333333326</v>
      </c>
      <c r="AA35" s="29">
        <f t="shared" si="48"/>
        <v>160.83333333333326</v>
      </c>
      <c r="AB35" s="19">
        <f t="shared" si="49"/>
        <v>10</v>
      </c>
      <c r="AC35">
        <f t="shared" si="40"/>
        <v>6</v>
      </c>
      <c r="AD35" t="str">
        <f t="shared" si="50"/>
        <v>VI</v>
      </c>
      <c r="AE35">
        <f t="shared" si="41"/>
        <v>49.99999999999545</v>
      </c>
      <c r="AF35" s="19"/>
    </row>
    <row r="36" spans="1:31" ht="12.75">
      <c r="A36" s="72" t="s">
        <v>1165</v>
      </c>
      <c r="B36" s="19">
        <v>4</v>
      </c>
      <c r="C36" s="7" t="s">
        <v>128</v>
      </c>
      <c r="D36" s="7" t="s">
        <v>93</v>
      </c>
      <c r="E36" s="7" t="s">
        <v>5</v>
      </c>
      <c r="F36" s="7" t="s">
        <v>12</v>
      </c>
      <c r="G36" s="9" t="s">
        <v>14</v>
      </c>
      <c r="H36" s="7" t="str">
        <f t="shared" si="42"/>
        <v>19PI56</v>
      </c>
      <c r="I36" s="20" t="str">
        <f t="shared" si="32"/>
        <v>10LI4</v>
      </c>
      <c r="K36">
        <f t="shared" si="33"/>
        <v>19</v>
      </c>
      <c r="L36" t="str">
        <f t="shared" si="34"/>
        <v>PI</v>
      </c>
      <c r="M36">
        <f t="shared" si="35"/>
        <v>56.00000000000023</v>
      </c>
      <c r="O36">
        <f t="shared" si="36"/>
        <v>10</v>
      </c>
      <c r="P36" t="str">
        <f t="shared" si="43"/>
        <v>LI</v>
      </c>
      <c r="Q36">
        <f t="shared" si="37"/>
        <v>3.9999999999997726</v>
      </c>
      <c r="S36" s="29">
        <f>SA-LORDSUN</f>
        <v>0</v>
      </c>
      <c r="T36" s="26">
        <f t="shared" si="38"/>
        <v>0</v>
      </c>
      <c r="U36" s="26">
        <f t="shared" si="44"/>
        <v>269.75</v>
      </c>
      <c r="V36" s="26">
        <f t="shared" si="39"/>
        <v>269.75</v>
      </c>
      <c r="W36" s="29">
        <f>LORDSUN-SA</f>
        <v>0</v>
      </c>
      <c r="X36" s="26">
        <f t="shared" si="45"/>
        <v>0</v>
      </c>
      <c r="Y36" s="26">
        <f t="shared" si="46"/>
        <v>269.75</v>
      </c>
      <c r="Z36" s="26">
        <f t="shared" si="47"/>
        <v>269.75</v>
      </c>
      <c r="AA36" s="29">
        <f t="shared" si="48"/>
        <v>269.75</v>
      </c>
      <c r="AB36" s="63">
        <f>IF(SUNSIGN="LE",AB38,IF(OR(SUNSIGN="AQ",SUNSIGN="CP"),AB39,AB37))</f>
        <v>19</v>
      </c>
      <c r="AC36" s="64">
        <f>IF(SUNSIGN="LE",AC38,IF(OR(SUNSIGN="AQ",SUNSIGN="CP"),AC39,AC37))</f>
        <v>12</v>
      </c>
      <c r="AD36" s="64" t="str">
        <f>IF(SUNSIGN="LE",AD38,IF(OR(SUNSIGN="AQ",SUNSIGN="CP"),AD39,AD37))</f>
        <v>PI</v>
      </c>
      <c r="AE36" s="65">
        <f>IF(SUNSIGN="LE",AE38,IF(OR(SUNSIGN="AQ",SUNSIGN="CP"),AE39,AE37))</f>
        <v>56.00000000000023</v>
      </c>
    </row>
    <row r="37" spans="2:32" ht="12.75" hidden="1">
      <c r="B37" s="19">
        <v>4</v>
      </c>
      <c r="C37" s="7" t="s">
        <v>96</v>
      </c>
      <c r="D37" s="7" t="s">
        <v>328</v>
      </c>
      <c r="E37" s="7" t="s">
        <v>5</v>
      </c>
      <c r="F37" s="7" t="s">
        <v>12</v>
      </c>
      <c r="G37" s="9" t="s">
        <v>14</v>
      </c>
      <c r="H37" s="7" t="str">
        <f>CONCATENATE(TEXT(K37,0),L37,TEXT(M37,0))</f>
        <v>29SA45</v>
      </c>
      <c r="I37" s="20" t="str">
        <f>CONCATENATE(TEXT(O37,0),P37,TEXT(Q37,0))</f>
        <v>0CP15</v>
      </c>
      <c r="K37">
        <f>AB37</f>
        <v>29</v>
      </c>
      <c r="L37" t="str">
        <f aca="true" t="shared" si="51" ref="L37:M39">AD37</f>
        <v>SA</v>
      </c>
      <c r="M37">
        <f t="shared" si="51"/>
        <v>45</v>
      </c>
      <c r="O37">
        <f>29-K37</f>
        <v>0</v>
      </c>
      <c r="P37" t="str">
        <f>VLOOKUP(AC37,SIGNS,4)</f>
        <v>CP</v>
      </c>
      <c r="Q37">
        <f>60-M37</f>
        <v>15</v>
      </c>
      <c r="S37" s="29">
        <f>SA-LORDSUN</f>
        <v>0</v>
      </c>
      <c r="T37" s="26">
        <f t="shared" si="38"/>
        <v>0</v>
      </c>
      <c r="U37" s="26">
        <f t="shared" si="44"/>
        <v>269.75</v>
      </c>
      <c r="V37" s="26">
        <f t="shared" si="39"/>
        <v>269.75</v>
      </c>
      <c r="W37" s="29">
        <f>LORDSUN-SA</f>
        <v>0</v>
      </c>
      <c r="X37" s="26">
        <f t="shared" si="45"/>
        <v>0</v>
      </c>
      <c r="Y37" s="26">
        <f t="shared" si="46"/>
        <v>269.75</v>
      </c>
      <c r="Z37" s="26">
        <f t="shared" si="47"/>
        <v>269.75</v>
      </c>
      <c r="AA37" s="29">
        <f t="shared" si="48"/>
        <v>269.75</v>
      </c>
      <c r="AB37" s="19">
        <f>TRUNC(AA37)-VLOOKUP(AC37,SIGNS,3)</f>
        <v>29</v>
      </c>
      <c r="AC37">
        <f>TRUNC(AA37/30)+1</f>
        <v>9</v>
      </c>
      <c r="AD37" t="str">
        <f t="shared" si="50"/>
        <v>SA</v>
      </c>
      <c r="AE37">
        <f>(AA37-TRUNC(AA37))*60</f>
        <v>45</v>
      </c>
      <c r="AF37" s="19"/>
    </row>
    <row r="38" spans="2:32" ht="12.75" hidden="1">
      <c r="B38" s="19">
        <v>4</v>
      </c>
      <c r="C38" s="7" t="s">
        <v>95</v>
      </c>
      <c r="D38" s="7" t="s">
        <v>83</v>
      </c>
      <c r="E38" s="7" t="s">
        <v>5</v>
      </c>
      <c r="F38" s="7" t="s">
        <v>12</v>
      </c>
      <c r="G38" s="9" t="s">
        <v>14</v>
      </c>
      <c r="H38" s="7" t="str">
        <f>CONCATENATE(TEXT(K38,0),L38,TEXT(M38,0))</f>
        <v>26LE37</v>
      </c>
      <c r="I38" s="20" t="str">
        <f>CONCATENATE(TEXT(O38,0),P38,TEXT(Q38,0))</f>
        <v>3TA23</v>
      </c>
      <c r="K38">
        <f>AB38</f>
        <v>26</v>
      </c>
      <c r="L38" t="str">
        <f t="shared" si="51"/>
        <v>LE</v>
      </c>
      <c r="M38">
        <f t="shared" si="51"/>
        <v>37.000000000000455</v>
      </c>
      <c r="O38">
        <f>29-K38</f>
        <v>3</v>
      </c>
      <c r="P38" t="str">
        <f>VLOOKUP(AC38,SIGNS,4)</f>
        <v>TA</v>
      </c>
      <c r="Q38">
        <f>60-M38</f>
        <v>22.999999999999545</v>
      </c>
      <c r="S38" s="29">
        <f>SA-120</f>
        <v>123.13333333333333</v>
      </c>
      <c r="T38" s="26">
        <f t="shared" si="38"/>
        <v>123.13333333333333</v>
      </c>
      <c r="U38" s="26">
        <f t="shared" si="44"/>
        <v>392.8833333333333</v>
      </c>
      <c r="V38" s="26">
        <f t="shared" si="39"/>
        <v>32.883333333333326</v>
      </c>
      <c r="W38" s="29">
        <f>120-SA</f>
        <v>-123.13333333333333</v>
      </c>
      <c r="X38" s="26">
        <f t="shared" si="45"/>
        <v>236.86666666666667</v>
      </c>
      <c r="Y38" s="26">
        <f t="shared" si="46"/>
        <v>506.6166666666667</v>
      </c>
      <c r="Z38" s="26">
        <f t="shared" si="47"/>
        <v>146.61666666666667</v>
      </c>
      <c r="AA38" s="29">
        <f t="shared" si="48"/>
        <v>146.61666666666667</v>
      </c>
      <c r="AB38" s="19">
        <f>TRUNC(AA38)-VLOOKUP(AC38,SIGNS,3)</f>
        <v>26</v>
      </c>
      <c r="AC38">
        <f>TRUNC(AA38/30)+1</f>
        <v>5</v>
      </c>
      <c r="AD38" t="str">
        <f t="shared" si="50"/>
        <v>LE</v>
      </c>
      <c r="AE38">
        <f>(AA38-TRUNC(AA38))*60</f>
        <v>37.000000000000455</v>
      </c>
      <c r="AF38" s="19"/>
    </row>
    <row r="39" spans="2:32" ht="12.75" hidden="1">
      <c r="B39" s="43">
        <v>4</v>
      </c>
      <c r="C39" s="44" t="s">
        <v>94</v>
      </c>
      <c r="D39" s="44" t="s">
        <v>6</v>
      </c>
      <c r="E39" s="44" t="s">
        <v>5</v>
      </c>
      <c r="F39" s="44" t="s">
        <v>12</v>
      </c>
      <c r="G39" s="45" t="s">
        <v>14</v>
      </c>
      <c r="H39" s="44" t="str">
        <f>CONCATENATE(TEXT(K39,0),L39,TEXT(M39,0))</f>
        <v>19PI56</v>
      </c>
      <c r="I39" s="46" t="str">
        <f>CONCATENATE(TEXT(O39,0),P39,TEXT(Q39,0))</f>
        <v>10LI4</v>
      </c>
      <c r="K39">
        <f>AB39</f>
        <v>19</v>
      </c>
      <c r="L39" t="str">
        <f t="shared" si="51"/>
        <v>PI</v>
      </c>
      <c r="M39">
        <f t="shared" si="51"/>
        <v>56.00000000000023</v>
      </c>
      <c r="O39">
        <f>29-K39</f>
        <v>10</v>
      </c>
      <c r="P39" t="str">
        <f>VLOOKUP(AC39,SIGNS,4)</f>
        <v>LI</v>
      </c>
      <c r="Q39">
        <f>60-M39</f>
        <v>3.9999999999997726</v>
      </c>
      <c r="S39" s="29">
        <f>SA-SUN</f>
        <v>-80.18333333333334</v>
      </c>
      <c r="T39" s="26">
        <f t="shared" si="38"/>
        <v>279.81666666666666</v>
      </c>
      <c r="U39" s="26">
        <f t="shared" si="44"/>
        <v>549.5666666666666</v>
      </c>
      <c r="V39" s="26">
        <f t="shared" si="39"/>
        <v>189.5666666666666</v>
      </c>
      <c r="W39" s="29">
        <f>SUN-SA</f>
        <v>80.18333333333334</v>
      </c>
      <c r="X39" s="26">
        <f t="shared" si="45"/>
        <v>80.18333333333334</v>
      </c>
      <c r="Y39" s="26">
        <f t="shared" si="46"/>
        <v>349.93333333333334</v>
      </c>
      <c r="Z39" s="26">
        <f t="shared" si="47"/>
        <v>349.93333333333334</v>
      </c>
      <c r="AA39" s="29">
        <f t="shared" si="48"/>
        <v>349.93333333333334</v>
      </c>
      <c r="AB39" s="19">
        <f>TRUNC(AA39)-VLOOKUP(AC39,SIGNS,3)</f>
        <v>19</v>
      </c>
      <c r="AC39">
        <f>TRUNC(AA39/30)+1</f>
        <v>12</v>
      </c>
      <c r="AD39" t="str">
        <f t="shared" si="50"/>
        <v>PI</v>
      </c>
      <c r="AE39">
        <f>(AA39-TRUNC(AA39))*60</f>
        <v>56.00000000000023</v>
      </c>
      <c r="AF39" s="19"/>
    </row>
    <row r="40" spans="1:32" ht="12.75">
      <c r="A40" s="72" t="s">
        <v>1166</v>
      </c>
      <c r="B40" s="19">
        <v>4</v>
      </c>
      <c r="C40" s="9" t="s">
        <v>774</v>
      </c>
      <c r="D40" s="7" t="s">
        <v>5</v>
      </c>
      <c r="E40" s="7" t="s">
        <v>8</v>
      </c>
      <c r="F40" s="7" t="s">
        <v>12</v>
      </c>
      <c r="G40" s="36" t="s">
        <v>13</v>
      </c>
      <c r="H40" s="7" t="str">
        <f t="shared" si="42"/>
        <v>21AQ48</v>
      </c>
      <c r="I40" s="20" t="str">
        <f t="shared" si="32"/>
        <v>8SC12</v>
      </c>
      <c r="K40">
        <f t="shared" si="33"/>
        <v>21</v>
      </c>
      <c r="L40" t="str">
        <f t="shared" si="34"/>
        <v>AQ</v>
      </c>
      <c r="M40">
        <f t="shared" si="35"/>
        <v>48.00000000000068</v>
      </c>
      <c r="O40">
        <f t="shared" si="36"/>
        <v>8</v>
      </c>
      <c r="P40" t="str">
        <f t="shared" si="43"/>
        <v>SC</v>
      </c>
      <c r="Q40">
        <f t="shared" si="37"/>
        <v>11.999999999999318</v>
      </c>
      <c r="S40" s="29">
        <f>MOON-SA</f>
        <v>52.05000000000001</v>
      </c>
      <c r="T40" s="26">
        <f t="shared" si="38"/>
        <v>52.05000000000001</v>
      </c>
      <c r="U40" s="26">
        <f>T40+ASC</f>
        <v>321.8</v>
      </c>
      <c r="V40" s="26">
        <f t="shared" si="39"/>
        <v>321.8</v>
      </c>
      <c r="W40" s="29"/>
      <c r="X40" s="26"/>
      <c r="Y40" s="26"/>
      <c r="Z40" s="26"/>
      <c r="AA40" s="29">
        <f>V40</f>
        <v>321.8</v>
      </c>
      <c r="AB40" s="19">
        <f t="shared" si="49"/>
        <v>21</v>
      </c>
      <c r="AC40">
        <f t="shared" si="40"/>
        <v>11</v>
      </c>
      <c r="AD40" t="str">
        <f t="shared" si="50"/>
        <v>AQ</v>
      </c>
      <c r="AE40">
        <f t="shared" si="41"/>
        <v>48.00000000000068</v>
      </c>
      <c r="AF40" s="19"/>
    </row>
    <row r="41" spans="2:32" ht="12.75">
      <c r="B41" s="19">
        <v>4</v>
      </c>
      <c r="C41" s="7" t="s">
        <v>129</v>
      </c>
      <c r="D41" s="7" t="s">
        <v>50</v>
      </c>
      <c r="E41" s="7" t="s">
        <v>10</v>
      </c>
      <c r="F41" s="7" t="s">
        <v>12</v>
      </c>
      <c r="G41" s="9" t="s">
        <v>14</v>
      </c>
      <c r="H41" s="7" t="str">
        <f t="shared" si="42"/>
        <v>17SA48</v>
      </c>
      <c r="I41" s="20" t="str">
        <f t="shared" si="32"/>
        <v>12CP12</v>
      </c>
      <c r="K41">
        <f t="shared" si="33"/>
        <v>17</v>
      </c>
      <c r="L41" t="str">
        <f t="shared" si="34"/>
        <v>SA</v>
      </c>
      <c r="M41">
        <f t="shared" si="35"/>
        <v>47.99999999999727</v>
      </c>
      <c r="O41">
        <f t="shared" si="36"/>
        <v>12</v>
      </c>
      <c r="P41" t="str">
        <f t="shared" si="43"/>
        <v>CP</v>
      </c>
      <c r="Q41">
        <f t="shared" si="37"/>
        <v>12.000000000002728</v>
      </c>
      <c r="S41" s="29">
        <f>JU-ME</f>
        <v>11.949999999999989</v>
      </c>
      <c r="T41" s="26">
        <f t="shared" si="38"/>
        <v>11.949999999999989</v>
      </c>
      <c r="U41" s="26">
        <f>T41+ASC</f>
        <v>281.7</v>
      </c>
      <c r="V41" s="26">
        <f t="shared" si="39"/>
        <v>281.7</v>
      </c>
      <c r="W41" s="29">
        <f>ME-JU</f>
        <v>-11.949999999999989</v>
      </c>
      <c r="X41" s="26">
        <f>IF(W41&lt;0,W41+360,W41)</f>
        <v>348.05</v>
      </c>
      <c r="Y41" s="26">
        <f>X41+ASC</f>
        <v>617.8</v>
      </c>
      <c r="Z41" s="26">
        <f>IF(Y41&gt;360,Y41-360,Y41)</f>
        <v>257.79999999999995</v>
      </c>
      <c r="AA41" s="29">
        <f>IF(SECT="D",V41,Z41)</f>
        <v>257.79999999999995</v>
      </c>
      <c r="AB41" s="19">
        <f t="shared" si="49"/>
        <v>17</v>
      </c>
      <c r="AC41">
        <f t="shared" si="40"/>
        <v>9</v>
      </c>
      <c r="AD41" t="str">
        <f t="shared" si="50"/>
        <v>SA</v>
      </c>
      <c r="AE41">
        <f t="shared" si="41"/>
        <v>47.99999999999727</v>
      </c>
      <c r="AF41" s="19"/>
    </row>
    <row r="42" spans="1:32" ht="12.75">
      <c r="A42" s="72" t="s">
        <v>1167</v>
      </c>
      <c r="B42" s="19">
        <v>4</v>
      </c>
      <c r="C42" s="9" t="s">
        <v>902</v>
      </c>
      <c r="D42" s="7" t="s">
        <v>7</v>
      </c>
      <c r="E42" s="7" t="s">
        <v>5</v>
      </c>
      <c r="F42" s="7" t="s">
        <v>12</v>
      </c>
      <c r="G42" s="36" t="s">
        <v>13</v>
      </c>
      <c r="H42" s="7" t="str">
        <f t="shared" si="42"/>
        <v>25LE35</v>
      </c>
      <c r="I42" s="20" t="str">
        <f t="shared" si="32"/>
        <v>4TA25</v>
      </c>
      <c r="K42">
        <f t="shared" si="33"/>
        <v>25</v>
      </c>
      <c r="L42" t="str">
        <f t="shared" si="34"/>
        <v>LE</v>
      </c>
      <c r="M42">
        <f t="shared" si="35"/>
        <v>34.99999999999886</v>
      </c>
      <c r="O42">
        <f t="shared" si="36"/>
        <v>4</v>
      </c>
      <c r="P42" t="str">
        <f t="shared" si="43"/>
        <v>TA</v>
      </c>
      <c r="Q42">
        <f t="shared" si="37"/>
        <v>25.000000000001137</v>
      </c>
      <c r="S42" s="29">
        <f>SA-VE</f>
        <v>235.83333333333331</v>
      </c>
      <c r="T42" s="26">
        <f t="shared" si="38"/>
        <v>235.83333333333331</v>
      </c>
      <c r="U42" s="26">
        <f>T42+ASC</f>
        <v>505.5833333333333</v>
      </c>
      <c r="V42" s="26">
        <f t="shared" si="39"/>
        <v>145.58333333333331</v>
      </c>
      <c r="W42" s="29"/>
      <c r="X42" s="26"/>
      <c r="Y42" s="26"/>
      <c r="Z42" s="26"/>
      <c r="AA42" s="29">
        <f>V42</f>
        <v>145.58333333333331</v>
      </c>
      <c r="AB42" s="19">
        <f t="shared" si="49"/>
        <v>25</v>
      </c>
      <c r="AC42">
        <f t="shared" si="40"/>
        <v>5</v>
      </c>
      <c r="AD42" t="str">
        <f t="shared" si="50"/>
        <v>LE</v>
      </c>
      <c r="AE42">
        <f t="shared" si="41"/>
        <v>34.99999999999886</v>
      </c>
      <c r="AF42" s="19"/>
    </row>
    <row r="43" spans="1:32" ht="12.75">
      <c r="A43" s="72" t="s">
        <v>1168</v>
      </c>
      <c r="B43" s="47">
        <v>4</v>
      </c>
      <c r="C43" s="52" t="s">
        <v>903</v>
      </c>
      <c r="D43" s="48" t="s">
        <v>5</v>
      </c>
      <c r="E43" s="48" t="s">
        <v>477</v>
      </c>
      <c r="F43" s="48" t="s">
        <v>12</v>
      </c>
      <c r="G43" s="49" t="s">
        <v>13</v>
      </c>
      <c r="H43" s="48" t="str">
        <f t="shared" si="42"/>
        <v>19PI56</v>
      </c>
      <c r="I43" s="50" t="str">
        <f t="shared" si="32"/>
        <v>10LI4</v>
      </c>
      <c r="K43">
        <f t="shared" si="33"/>
        <v>19</v>
      </c>
      <c r="L43" t="str">
        <f t="shared" si="34"/>
        <v>PI</v>
      </c>
      <c r="M43">
        <f t="shared" si="35"/>
        <v>56.00000000000023</v>
      </c>
      <c r="O43">
        <f t="shared" si="36"/>
        <v>10</v>
      </c>
      <c r="P43" t="str">
        <f t="shared" si="43"/>
        <v>LI</v>
      </c>
      <c r="Q43">
        <f t="shared" si="37"/>
        <v>3.9999999999997726</v>
      </c>
      <c r="S43" s="29">
        <f>LORDSANS-SA</f>
        <v>80.18333333333334</v>
      </c>
      <c r="T43" s="26">
        <f t="shared" si="38"/>
        <v>80.18333333333334</v>
      </c>
      <c r="U43" s="26">
        <f>T43+ASC</f>
        <v>349.93333333333334</v>
      </c>
      <c r="V43" s="26">
        <f t="shared" si="39"/>
        <v>349.93333333333334</v>
      </c>
      <c r="W43" s="29"/>
      <c r="X43" s="26"/>
      <c r="Y43" s="26"/>
      <c r="Z43" s="26"/>
      <c r="AA43" s="29">
        <f>V43</f>
        <v>349.93333333333334</v>
      </c>
      <c r="AB43" s="19">
        <f t="shared" si="49"/>
        <v>19</v>
      </c>
      <c r="AC43">
        <f t="shared" si="40"/>
        <v>12</v>
      </c>
      <c r="AD43" t="str">
        <f t="shared" si="50"/>
        <v>PI</v>
      </c>
      <c r="AE43">
        <f t="shared" si="41"/>
        <v>56.00000000000023</v>
      </c>
      <c r="AF43" s="19"/>
    </row>
    <row r="44" spans="2:32" ht="5.25" customHeight="1">
      <c r="B44" s="19"/>
      <c r="C44" s="7"/>
      <c r="D44" s="7"/>
      <c r="E44" s="7"/>
      <c r="F44" s="7"/>
      <c r="G44" s="36"/>
      <c r="H44" s="7"/>
      <c r="I44" s="20"/>
      <c r="S44" s="29"/>
      <c r="T44" s="26"/>
      <c r="U44" s="26"/>
      <c r="V44" s="26"/>
      <c r="W44" s="29"/>
      <c r="X44" s="26"/>
      <c r="Y44" s="26"/>
      <c r="Z44" s="26"/>
      <c r="AA44" s="29"/>
      <c r="AB44" s="19"/>
      <c r="AF44" s="19"/>
    </row>
    <row r="45" spans="1:32" ht="12.75">
      <c r="A45" s="72" t="s">
        <v>1169</v>
      </c>
      <c r="B45" s="43">
        <v>5</v>
      </c>
      <c r="C45" s="44" t="s">
        <v>431</v>
      </c>
      <c r="D45" s="44" t="s">
        <v>10</v>
      </c>
      <c r="E45" s="44" t="s">
        <v>5</v>
      </c>
      <c r="F45" s="44" t="s">
        <v>12</v>
      </c>
      <c r="G45" s="45" t="s">
        <v>14</v>
      </c>
      <c r="H45" s="44" t="str">
        <f>CONCATENATE(TEXT(K45,0),L45,TEXT(M45,0))</f>
        <v>18AR40</v>
      </c>
      <c r="I45" s="46" t="str">
        <f t="shared" si="32"/>
        <v>11VI20</v>
      </c>
      <c r="K45">
        <f t="shared" si="33"/>
        <v>18</v>
      </c>
      <c r="L45" t="str">
        <f t="shared" si="34"/>
        <v>AR</v>
      </c>
      <c r="M45">
        <f t="shared" si="35"/>
        <v>40.00000000000114</v>
      </c>
      <c r="O45">
        <f t="shared" si="36"/>
        <v>11</v>
      </c>
      <c r="P45" t="str">
        <f>VLOOKUP(AC45,SIGNS,4)</f>
        <v>VI</v>
      </c>
      <c r="Q45">
        <f t="shared" si="37"/>
        <v>19.999999999998863</v>
      </c>
      <c r="S45" s="29">
        <f>SA-JU</f>
        <v>-108.91666666666669</v>
      </c>
      <c r="T45" s="26">
        <f t="shared" si="38"/>
        <v>251.08333333333331</v>
      </c>
      <c r="U45" s="26">
        <f>T45+ASC</f>
        <v>520.8333333333333</v>
      </c>
      <c r="V45" s="26">
        <f t="shared" si="39"/>
        <v>160.83333333333326</v>
      </c>
      <c r="W45" s="29">
        <f>JU-SA</f>
        <v>108.91666666666669</v>
      </c>
      <c r="X45" s="26">
        <f>IF(W45&lt;0,W45+360,W45)</f>
        <v>108.91666666666669</v>
      </c>
      <c r="Y45" s="26">
        <f>X45+ASC</f>
        <v>378.6666666666667</v>
      </c>
      <c r="Z45" s="26">
        <f>IF(Y45&gt;360,Y45-360,Y45)</f>
        <v>18.666666666666686</v>
      </c>
      <c r="AA45" s="29">
        <f>IF(SECT="D",V45,Z45)</f>
        <v>18.666666666666686</v>
      </c>
      <c r="AB45" s="19">
        <f>TRUNC(AA45)-VLOOKUP(AC45,SIGNS,3)</f>
        <v>18</v>
      </c>
      <c r="AC45">
        <f t="shared" si="40"/>
        <v>1</v>
      </c>
      <c r="AD45" t="str">
        <f>VLOOKUP(AC45,SIGNS,2)</f>
        <v>AR</v>
      </c>
      <c r="AE45">
        <f t="shared" si="41"/>
        <v>40.00000000000114</v>
      </c>
      <c r="AF45" s="19"/>
    </row>
    <row r="46" spans="1:32" ht="12.75">
      <c r="A46" s="72" t="s">
        <v>1170</v>
      </c>
      <c r="B46" s="19">
        <v>5</v>
      </c>
      <c r="C46" s="9" t="s">
        <v>910</v>
      </c>
      <c r="D46" s="7" t="s">
        <v>9</v>
      </c>
      <c r="E46" s="7" t="s">
        <v>10</v>
      </c>
      <c r="F46" s="7" t="s">
        <v>12</v>
      </c>
      <c r="G46" s="36" t="s">
        <v>13</v>
      </c>
      <c r="H46" s="7" t="str">
        <f>CONCATENATE(TEXT(K46,0),L46,TEXT(M46,0))</f>
        <v>26TA20</v>
      </c>
      <c r="I46" s="20" t="str">
        <f t="shared" si="32"/>
        <v>3LE40</v>
      </c>
      <c r="K46">
        <f t="shared" si="33"/>
        <v>26</v>
      </c>
      <c r="L46" t="str">
        <f t="shared" si="34"/>
        <v>TA</v>
      </c>
      <c r="M46">
        <f t="shared" si="35"/>
        <v>20.000000000002274</v>
      </c>
      <c r="O46">
        <f t="shared" si="36"/>
        <v>3</v>
      </c>
      <c r="P46" t="str">
        <f>VLOOKUP(AC46,SIGNS,4)</f>
        <v>LE</v>
      </c>
      <c r="Q46">
        <f t="shared" si="37"/>
        <v>39.999999999997726</v>
      </c>
      <c r="S46" s="29">
        <f>JU-MA</f>
        <v>146.58333333333334</v>
      </c>
      <c r="T46" s="26">
        <f t="shared" si="38"/>
        <v>146.58333333333334</v>
      </c>
      <c r="U46" s="26">
        <f>T46+ASC</f>
        <v>416.33333333333337</v>
      </c>
      <c r="V46" s="26">
        <f t="shared" si="39"/>
        <v>56.33333333333337</v>
      </c>
      <c r="W46" s="29"/>
      <c r="X46" s="26"/>
      <c r="Y46" s="26"/>
      <c r="Z46" s="26"/>
      <c r="AA46" s="29">
        <f>V46</f>
        <v>56.33333333333337</v>
      </c>
      <c r="AB46" s="19">
        <f>TRUNC(AA46)-VLOOKUP(AC46,SIGNS,3)</f>
        <v>26</v>
      </c>
      <c r="AC46">
        <f t="shared" si="40"/>
        <v>2</v>
      </c>
      <c r="AD46" t="str">
        <f>VLOOKUP(AC46,SIGNS,2)</f>
        <v>TA</v>
      </c>
      <c r="AE46">
        <f t="shared" si="41"/>
        <v>20.000000000002274</v>
      </c>
      <c r="AF46" s="19"/>
    </row>
    <row r="47" spans="1:32" ht="12.75">
      <c r="A47" s="72" t="s">
        <v>1171</v>
      </c>
      <c r="B47" s="19">
        <v>5</v>
      </c>
      <c r="C47" s="9" t="s">
        <v>500</v>
      </c>
      <c r="D47" s="7" t="s">
        <v>8</v>
      </c>
      <c r="E47" s="7" t="s">
        <v>10</v>
      </c>
      <c r="F47" s="7" t="s">
        <v>12</v>
      </c>
      <c r="G47" s="36" t="s">
        <v>13</v>
      </c>
      <c r="H47" s="7" t="str">
        <f>CONCATENATE(TEXT(K47,0),L47,TEXT(M47,0))</f>
        <v>26AQ37</v>
      </c>
      <c r="I47" s="20" t="str">
        <f t="shared" si="32"/>
        <v>3SC23</v>
      </c>
      <c r="K47">
        <f t="shared" si="33"/>
        <v>26</v>
      </c>
      <c r="L47" t="str">
        <f t="shared" si="34"/>
        <v>AQ</v>
      </c>
      <c r="M47">
        <f t="shared" si="35"/>
        <v>37.000000000000455</v>
      </c>
      <c r="O47">
        <f t="shared" si="36"/>
        <v>3</v>
      </c>
      <c r="P47" t="str">
        <f>VLOOKUP(AC47,SIGNS,4)</f>
        <v>SC</v>
      </c>
      <c r="Q47">
        <f t="shared" si="37"/>
        <v>22.999999999999545</v>
      </c>
      <c r="S47" s="29">
        <f>JU-MOON</f>
        <v>56.866666666666674</v>
      </c>
      <c r="T47" s="26">
        <f t="shared" si="38"/>
        <v>56.866666666666674</v>
      </c>
      <c r="U47" s="26">
        <f>T47+ASC</f>
        <v>326.6166666666667</v>
      </c>
      <c r="V47" s="26">
        <f t="shared" si="39"/>
        <v>326.6166666666667</v>
      </c>
      <c r="W47" s="29"/>
      <c r="X47" s="26"/>
      <c r="Y47" s="26"/>
      <c r="Z47" s="26"/>
      <c r="AA47" s="29">
        <f>V47</f>
        <v>326.6166666666667</v>
      </c>
      <c r="AB47" s="19">
        <f>TRUNC(AA47)-VLOOKUP(AC47,SIGNS,3)</f>
        <v>26</v>
      </c>
      <c r="AC47">
        <f t="shared" si="40"/>
        <v>11</v>
      </c>
      <c r="AD47" t="str">
        <f>VLOOKUP(AC47,SIGNS,2)</f>
        <v>AQ</v>
      </c>
      <c r="AE47">
        <f t="shared" si="41"/>
        <v>37.000000000000455</v>
      </c>
      <c r="AF47" s="19"/>
    </row>
    <row r="48" spans="1:32" ht="12.75">
      <c r="A48" s="72" t="s">
        <v>1172</v>
      </c>
      <c r="B48" s="19">
        <v>5</v>
      </c>
      <c r="C48" s="9" t="s">
        <v>922</v>
      </c>
      <c r="D48" s="7" t="s">
        <v>8</v>
      </c>
      <c r="E48" s="7" t="s">
        <v>7</v>
      </c>
      <c r="F48" s="7" t="s">
        <v>12</v>
      </c>
      <c r="G48" s="36" t="s">
        <v>13</v>
      </c>
      <c r="H48" s="7" t="str">
        <f>CONCATENATE(TEXT(K48,0),L48,TEXT(M48,0))</f>
        <v>11PI52</v>
      </c>
      <c r="I48" s="20" t="str">
        <f t="shared" si="32"/>
        <v>18LI8</v>
      </c>
      <c r="K48">
        <f t="shared" si="33"/>
        <v>11</v>
      </c>
      <c r="L48" t="str">
        <f t="shared" si="34"/>
        <v>PI</v>
      </c>
      <c r="M48">
        <f t="shared" si="35"/>
        <v>52.000000000000455</v>
      </c>
      <c r="O48">
        <f t="shared" si="36"/>
        <v>18</v>
      </c>
      <c r="P48" t="str">
        <f>VLOOKUP(AC48,SIGNS,4)</f>
        <v>LI</v>
      </c>
      <c r="Q48">
        <f t="shared" si="37"/>
        <v>7.999999999999545</v>
      </c>
      <c r="S48" s="29">
        <f>VE-MOON</f>
        <v>-287.8833333333333</v>
      </c>
      <c r="T48" s="26">
        <f t="shared" si="38"/>
        <v>72.11666666666667</v>
      </c>
      <c r="U48" s="26">
        <f>T48+ASC</f>
        <v>341.8666666666667</v>
      </c>
      <c r="V48" s="26">
        <f t="shared" si="39"/>
        <v>341.8666666666667</v>
      </c>
      <c r="W48" s="29"/>
      <c r="X48" s="26"/>
      <c r="Y48" s="26"/>
      <c r="Z48" s="26"/>
      <c r="AA48" s="29">
        <f>V48</f>
        <v>341.8666666666667</v>
      </c>
      <c r="AB48" s="19">
        <f>TRUNC(AA48)-VLOOKUP(AC48,SIGNS,3)</f>
        <v>11</v>
      </c>
      <c r="AC48">
        <f t="shared" si="40"/>
        <v>12</v>
      </c>
      <c r="AD48" t="str">
        <f>VLOOKUP(AC48,SIGNS,2)</f>
        <v>PI</v>
      </c>
      <c r="AE48">
        <f t="shared" si="41"/>
        <v>52.000000000000455</v>
      </c>
      <c r="AF48" s="19"/>
    </row>
    <row r="49" spans="1:32" ht="12.75">
      <c r="A49" s="72" t="s">
        <v>1173</v>
      </c>
      <c r="B49" s="47">
        <v>5</v>
      </c>
      <c r="C49" s="52" t="s">
        <v>928</v>
      </c>
      <c r="D49" s="48" t="s">
        <v>337</v>
      </c>
      <c r="E49" s="52" t="s">
        <v>8</v>
      </c>
      <c r="F49" s="48" t="s">
        <v>12</v>
      </c>
      <c r="G49" s="52" t="s">
        <v>14</v>
      </c>
      <c r="H49" s="48" t="str">
        <f>CONCATENATE(TEXT(K49,0),L49,TEXT(M49,0))</f>
        <v>7SC42</v>
      </c>
      <c r="I49" s="50" t="str">
        <f t="shared" si="32"/>
        <v>22AQ18</v>
      </c>
      <c r="K49">
        <f t="shared" si="33"/>
        <v>7</v>
      </c>
      <c r="L49" t="str">
        <f t="shared" si="34"/>
        <v>SC</v>
      </c>
      <c r="M49">
        <f t="shared" si="35"/>
        <v>42.00000000000273</v>
      </c>
      <c r="O49">
        <f t="shared" si="36"/>
        <v>22</v>
      </c>
      <c r="P49" t="str">
        <f>VLOOKUP(AC49,SIGNS,4)</f>
        <v>AQ</v>
      </c>
      <c r="Q49">
        <f t="shared" si="37"/>
        <v>17.99999999999727</v>
      </c>
      <c r="S49" s="29">
        <f>MOON-LORDMOON</f>
        <v>52.05000000000001</v>
      </c>
      <c r="T49" s="26">
        <f t="shared" si="38"/>
        <v>52.05000000000001</v>
      </c>
      <c r="U49" s="26">
        <f>T49+ASC</f>
        <v>321.8</v>
      </c>
      <c r="V49" s="26">
        <f t="shared" si="39"/>
        <v>321.8</v>
      </c>
      <c r="W49" s="29">
        <f>LORDMOON-MOON</f>
        <v>-52.05000000000001</v>
      </c>
      <c r="X49" s="26">
        <f>IF(W49&lt;0,W49+360,W49)</f>
        <v>307.95</v>
      </c>
      <c r="Y49" s="26">
        <f>X49+ASC</f>
        <v>577.7</v>
      </c>
      <c r="Z49" s="26">
        <f>IF(Y49&gt;360,Y49-360,Y49)</f>
        <v>217.70000000000005</v>
      </c>
      <c r="AA49" s="29">
        <f>IF(SECT="D",V49,Z49)</f>
        <v>217.70000000000005</v>
      </c>
      <c r="AB49" s="19">
        <f>TRUNC(AA49)-VLOOKUP(AC49,SIGNS,3)</f>
        <v>7</v>
      </c>
      <c r="AC49">
        <f t="shared" si="40"/>
        <v>8</v>
      </c>
      <c r="AD49" t="str">
        <f>VLOOKUP(AC49,SIGNS,2)</f>
        <v>SC</v>
      </c>
      <c r="AE49">
        <f t="shared" si="41"/>
        <v>42.00000000000273</v>
      </c>
      <c r="AF49" s="19"/>
    </row>
    <row r="50" spans="2:32" ht="4.5" customHeight="1">
      <c r="B50" s="19"/>
      <c r="C50" s="7"/>
      <c r="D50" s="7"/>
      <c r="E50" s="7"/>
      <c r="F50" s="7"/>
      <c r="G50" s="9"/>
      <c r="H50" s="7"/>
      <c r="I50" s="20"/>
      <c r="S50" s="29"/>
      <c r="T50" s="26"/>
      <c r="U50" s="26"/>
      <c r="V50" s="26"/>
      <c r="W50" s="29"/>
      <c r="X50" s="26"/>
      <c r="Y50" s="26"/>
      <c r="Z50" s="26"/>
      <c r="AA50" s="29"/>
      <c r="AB50" s="19"/>
      <c r="AF50" s="19"/>
    </row>
    <row r="51" spans="1:32" ht="12.75">
      <c r="A51" s="72" t="s">
        <v>1175</v>
      </c>
      <c r="B51" s="43">
        <v>6</v>
      </c>
      <c r="C51" s="45" t="s">
        <v>944</v>
      </c>
      <c r="D51" s="44" t="s">
        <v>5</v>
      </c>
      <c r="E51" s="44" t="s">
        <v>9</v>
      </c>
      <c r="F51" s="44" t="s">
        <v>12</v>
      </c>
      <c r="G51" s="45" t="s">
        <v>14</v>
      </c>
      <c r="H51" s="44" t="str">
        <f aca="true" t="shared" si="52" ref="H51:H56">CONCATENATE(TEXT(K51,0),L51,TEXT(M51,0))</f>
        <v>7AQ25</v>
      </c>
      <c r="I51" s="46" t="str">
        <f t="shared" si="32"/>
        <v>22SC35</v>
      </c>
      <c r="K51">
        <f t="shared" si="33"/>
        <v>7</v>
      </c>
      <c r="L51" t="str">
        <f t="shared" si="34"/>
        <v>AQ</v>
      </c>
      <c r="M51">
        <f t="shared" si="35"/>
        <v>24.999999999997726</v>
      </c>
      <c r="O51">
        <f t="shared" si="36"/>
        <v>22</v>
      </c>
      <c r="P51" t="str">
        <f aca="true" t="shared" si="53" ref="P51:P56">VLOOKUP(AC51,SIGNS,4)</f>
        <v>SC</v>
      </c>
      <c r="Q51">
        <f t="shared" si="37"/>
        <v>35.000000000002274</v>
      </c>
      <c r="S51" s="29">
        <f>MA-SA</f>
        <v>-37.66666666666666</v>
      </c>
      <c r="T51" s="26">
        <f t="shared" si="38"/>
        <v>322.33333333333337</v>
      </c>
      <c r="U51" s="26">
        <f aca="true" t="shared" si="54" ref="U51:U56">T51+ASC</f>
        <v>592.0833333333334</v>
      </c>
      <c r="V51" s="26">
        <f t="shared" si="39"/>
        <v>232.08333333333337</v>
      </c>
      <c r="W51" s="29">
        <f>SA-MA</f>
        <v>37.66666666666666</v>
      </c>
      <c r="X51" s="26">
        <f>IF(W51&lt;0,W51+360,W51)</f>
        <v>37.66666666666666</v>
      </c>
      <c r="Y51" s="26">
        <f>X51+ASC</f>
        <v>307.41666666666663</v>
      </c>
      <c r="Z51" s="26">
        <f>IF(Y51&gt;360,Y51-360,Y51)</f>
        <v>307.41666666666663</v>
      </c>
      <c r="AA51" s="29">
        <f>IF(SECT="D",V51,Z51)</f>
        <v>307.41666666666663</v>
      </c>
      <c r="AB51" s="19">
        <f aca="true" t="shared" si="55" ref="AB51:AB56">TRUNC(AA51)-VLOOKUP(AC51,SIGNS,3)</f>
        <v>7</v>
      </c>
      <c r="AC51">
        <f t="shared" si="40"/>
        <v>11</v>
      </c>
      <c r="AD51" t="str">
        <f aca="true" t="shared" si="56" ref="AD51:AD56">VLOOKUP(AC51,SIGNS,2)</f>
        <v>AQ</v>
      </c>
      <c r="AE51">
        <f t="shared" si="41"/>
        <v>24.999999999997726</v>
      </c>
      <c r="AF51" s="19"/>
    </row>
    <row r="52" spans="2:32" ht="12.75">
      <c r="B52" s="19">
        <v>6</v>
      </c>
      <c r="C52" s="7" t="s">
        <v>131</v>
      </c>
      <c r="D52" s="7" t="s">
        <v>50</v>
      </c>
      <c r="E52" s="7" t="s">
        <v>9</v>
      </c>
      <c r="F52" s="7" t="s">
        <v>12</v>
      </c>
      <c r="G52" s="36" t="s">
        <v>13</v>
      </c>
      <c r="H52" s="7" t="str">
        <f t="shared" si="52"/>
        <v>15LE7</v>
      </c>
      <c r="I52" s="20" t="str">
        <f t="shared" si="32"/>
        <v>14TA53</v>
      </c>
      <c r="K52">
        <f t="shared" si="33"/>
        <v>15</v>
      </c>
      <c r="L52" t="str">
        <f t="shared" si="34"/>
        <v>LE</v>
      </c>
      <c r="M52">
        <f t="shared" si="35"/>
        <v>7.000000000000455</v>
      </c>
      <c r="O52">
        <f t="shared" si="36"/>
        <v>14</v>
      </c>
      <c r="P52" t="str">
        <f t="shared" si="53"/>
        <v>TA</v>
      </c>
      <c r="Q52">
        <f t="shared" si="37"/>
        <v>52.999999999999545</v>
      </c>
      <c r="S52" s="29">
        <f>MA-ME</f>
        <v>-134.63333333333335</v>
      </c>
      <c r="T52" s="26">
        <f t="shared" si="38"/>
        <v>225.36666666666665</v>
      </c>
      <c r="U52" s="26">
        <f t="shared" si="54"/>
        <v>495.1166666666667</v>
      </c>
      <c r="V52" s="26">
        <f t="shared" si="39"/>
        <v>135.11666666666667</v>
      </c>
      <c r="W52" s="29"/>
      <c r="X52" s="26"/>
      <c r="Y52" s="26"/>
      <c r="Z52" s="26"/>
      <c r="AA52" s="29">
        <f>V52</f>
        <v>135.11666666666667</v>
      </c>
      <c r="AB52" s="19">
        <f t="shared" si="55"/>
        <v>15</v>
      </c>
      <c r="AC52">
        <f t="shared" si="40"/>
        <v>5</v>
      </c>
      <c r="AD52" t="str">
        <f t="shared" si="56"/>
        <v>LE</v>
      </c>
      <c r="AE52">
        <f t="shared" si="41"/>
        <v>7.000000000000455</v>
      </c>
      <c r="AF52" s="19"/>
    </row>
    <row r="53" spans="1:32" ht="12.75">
      <c r="A53" s="72" t="s">
        <v>1177</v>
      </c>
      <c r="B53" s="19">
        <v>6</v>
      </c>
      <c r="C53" s="7" t="s">
        <v>451</v>
      </c>
      <c r="D53" s="7" t="s">
        <v>50</v>
      </c>
      <c r="E53" s="7" t="s">
        <v>8</v>
      </c>
      <c r="F53" s="7" t="s">
        <v>12</v>
      </c>
      <c r="G53" s="9" t="s">
        <v>14</v>
      </c>
      <c r="H53" s="7" t="str">
        <f t="shared" si="52"/>
        <v>14AQ40</v>
      </c>
      <c r="I53" s="20" t="str">
        <f t="shared" si="32"/>
        <v>15SC20</v>
      </c>
      <c r="K53">
        <f t="shared" si="33"/>
        <v>14</v>
      </c>
      <c r="L53" t="str">
        <f t="shared" si="34"/>
        <v>AQ</v>
      </c>
      <c r="M53">
        <f t="shared" si="35"/>
        <v>40.00000000000114</v>
      </c>
      <c r="O53">
        <f t="shared" si="36"/>
        <v>15</v>
      </c>
      <c r="P53" t="str">
        <f t="shared" si="53"/>
        <v>SC</v>
      </c>
      <c r="Q53">
        <f t="shared" si="37"/>
        <v>19.999999999998863</v>
      </c>
      <c r="S53" s="29">
        <f>MOON-ME</f>
        <v>-44.916666666666686</v>
      </c>
      <c r="T53" s="26">
        <f t="shared" si="38"/>
        <v>315.0833333333333</v>
      </c>
      <c r="U53" s="26">
        <f t="shared" si="54"/>
        <v>584.8333333333333</v>
      </c>
      <c r="V53" s="26">
        <f t="shared" si="39"/>
        <v>224.83333333333326</v>
      </c>
      <c r="W53" s="29">
        <f>ME-MOON</f>
        <v>44.916666666666686</v>
      </c>
      <c r="X53" s="26">
        <f>IF(W53&lt;0,W53+360,W53)</f>
        <v>44.916666666666686</v>
      </c>
      <c r="Y53" s="26">
        <f>X53+ASC</f>
        <v>314.6666666666667</v>
      </c>
      <c r="Z53" s="26">
        <f>IF(Y53&gt;360,Y53-360,Y53)</f>
        <v>314.6666666666667</v>
      </c>
      <c r="AA53" s="29">
        <f>IF(SECT="D",V53,Z53)</f>
        <v>314.6666666666667</v>
      </c>
      <c r="AB53" s="19">
        <f t="shared" si="55"/>
        <v>14</v>
      </c>
      <c r="AC53">
        <f t="shared" si="40"/>
        <v>11</v>
      </c>
      <c r="AD53" t="str">
        <f t="shared" si="56"/>
        <v>AQ</v>
      </c>
      <c r="AE53">
        <f t="shared" si="41"/>
        <v>40.00000000000114</v>
      </c>
      <c r="AF53" s="19"/>
    </row>
    <row r="54" spans="2:32" ht="12.75">
      <c r="B54" s="47">
        <v>6</v>
      </c>
      <c r="C54" s="48" t="s">
        <v>132</v>
      </c>
      <c r="D54" s="48" t="s">
        <v>116</v>
      </c>
      <c r="E54" s="48" t="s">
        <v>641</v>
      </c>
      <c r="F54" s="48" t="s">
        <v>12</v>
      </c>
      <c r="G54" s="49" t="s">
        <v>13</v>
      </c>
      <c r="H54" s="48" t="str">
        <f t="shared" si="52"/>
        <v>21AQ48</v>
      </c>
      <c r="I54" s="50" t="str">
        <f t="shared" si="32"/>
        <v>8SC12</v>
      </c>
      <c r="K54">
        <f t="shared" si="33"/>
        <v>21</v>
      </c>
      <c r="L54" t="str">
        <f t="shared" si="34"/>
        <v>AQ</v>
      </c>
      <c r="M54">
        <f t="shared" si="35"/>
        <v>48.00000000000068</v>
      </c>
      <c r="O54">
        <f t="shared" si="36"/>
        <v>8</v>
      </c>
      <c r="P54" t="str">
        <f t="shared" si="53"/>
        <v>SC</v>
      </c>
      <c r="Q54">
        <f t="shared" si="37"/>
        <v>11.999999999999318</v>
      </c>
      <c r="S54" s="29">
        <f>IF(SECT="D",Report!S56,IF(SECT="N",Report!S55,0))</f>
        <v>52.05000000000001</v>
      </c>
      <c r="T54" s="26">
        <f t="shared" si="38"/>
        <v>52.05000000000001</v>
      </c>
      <c r="U54" s="26">
        <f t="shared" si="54"/>
        <v>321.8</v>
      </c>
      <c r="V54" s="26">
        <f t="shared" si="39"/>
        <v>321.8</v>
      </c>
      <c r="W54" s="29"/>
      <c r="X54" s="26"/>
      <c r="Y54" s="26"/>
      <c r="Z54" s="26"/>
      <c r="AA54" s="29">
        <f>V54</f>
        <v>321.8</v>
      </c>
      <c r="AB54" s="19">
        <f t="shared" si="55"/>
        <v>21</v>
      </c>
      <c r="AC54">
        <f t="shared" si="40"/>
        <v>11</v>
      </c>
      <c r="AD54" t="str">
        <f t="shared" si="56"/>
        <v>AQ</v>
      </c>
      <c r="AE54">
        <f t="shared" si="41"/>
        <v>48.00000000000068</v>
      </c>
      <c r="AF54" s="19"/>
    </row>
    <row r="55" spans="2:32" ht="12.75" hidden="1">
      <c r="B55" s="47">
        <v>6</v>
      </c>
      <c r="C55" s="48" t="s">
        <v>133</v>
      </c>
      <c r="D55" s="48" t="s">
        <v>337</v>
      </c>
      <c r="E55" s="48" t="s">
        <v>8</v>
      </c>
      <c r="F55" s="48" t="s">
        <v>12</v>
      </c>
      <c r="G55" s="49" t="s">
        <v>13</v>
      </c>
      <c r="H55" s="48" t="str">
        <f t="shared" si="52"/>
        <v>21AQ48</v>
      </c>
      <c r="I55" s="50" t="str">
        <f>CONCATENATE(TEXT(O55,0),P55,TEXT(Q55,0))</f>
        <v>8SC12</v>
      </c>
      <c r="K55">
        <f>AB55</f>
        <v>21</v>
      </c>
      <c r="L55" t="str">
        <f>AD55</f>
        <v>AQ</v>
      </c>
      <c r="M55">
        <f>AE55</f>
        <v>48.00000000000068</v>
      </c>
      <c r="O55">
        <f>29-K55</f>
        <v>8</v>
      </c>
      <c r="P55" t="str">
        <f t="shared" si="53"/>
        <v>SC</v>
      </c>
      <c r="Q55">
        <f>60-M55</f>
        <v>11.999999999999318</v>
      </c>
      <c r="S55" s="29">
        <f>MOON-LORDMOON</f>
        <v>52.05000000000001</v>
      </c>
      <c r="T55" s="26">
        <f t="shared" si="38"/>
        <v>52.05000000000001</v>
      </c>
      <c r="U55" s="26">
        <f t="shared" si="54"/>
        <v>321.8</v>
      </c>
      <c r="V55" s="26">
        <f t="shared" si="39"/>
        <v>321.8</v>
      </c>
      <c r="W55" s="29"/>
      <c r="X55" s="26"/>
      <c r="Y55" s="26"/>
      <c r="Z55" s="26"/>
      <c r="AA55" s="29">
        <f>V55</f>
        <v>321.8</v>
      </c>
      <c r="AB55" s="19">
        <f t="shared" si="55"/>
        <v>21</v>
      </c>
      <c r="AC55">
        <f>TRUNC(AA55/30)+1</f>
        <v>11</v>
      </c>
      <c r="AD55" t="str">
        <f t="shared" si="56"/>
        <v>AQ</v>
      </c>
      <c r="AE55">
        <f>(AA55-TRUNC(AA55))*60</f>
        <v>48.00000000000068</v>
      </c>
      <c r="AF55" s="19"/>
    </row>
    <row r="56" spans="2:32" ht="12.75" hidden="1">
      <c r="B56" s="47">
        <v>6</v>
      </c>
      <c r="C56" s="48" t="s">
        <v>134</v>
      </c>
      <c r="D56" s="48" t="s">
        <v>328</v>
      </c>
      <c r="E56" s="48" t="s">
        <v>6</v>
      </c>
      <c r="F56" s="48" t="s">
        <v>12</v>
      </c>
      <c r="G56" s="49" t="s">
        <v>13</v>
      </c>
      <c r="H56" s="48" t="str">
        <f t="shared" si="52"/>
        <v>19PI56</v>
      </c>
      <c r="I56" s="50" t="str">
        <f>CONCATENATE(TEXT(O56,0),P56,TEXT(Q56,0))</f>
        <v>10LI4</v>
      </c>
      <c r="K56">
        <f>AB56</f>
        <v>19</v>
      </c>
      <c r="L56" t="str">
        <f>AD56</f>
        <v>PI</v>
      </c>
      <c r="M56">
        <f>AE56</f>
        <v>56.00000000000023</v>
      </c>
      <c r="O56">
        <f>29-K56</f>
        <v>10</v>
      </c>
      <c r="P56" t="str">
        <f t="shared" si="53"/>
        <v>LI</v>
      </c>
      <c r="Q56">
        <f>60-M56</f>
        <v>3.9999999999997726</v>
      </c>
      <c r="S56" s="29">
        <f>SUN-LORDSUN</f>
        <v>80.18333333333334</v>
      </c>
      <c r="T56" s="26">
        <f t="shared" si="38"/>
        <v>80.18333333333334</v>
      </c>
      <c r="U56" s="26">
        <f t="shared" si="54"/>
        <v>349.93333333333334</v>
      </c>
      <c r="V56" s="26">
        <f t="shared" si="39"/>
        <v>349.93333333333334</v>
      </c>
      <c r="W56" s="29"/>
      <c r="X56" s="26"/>
      <c r="Y56" s="26"/>
      <c r="Z56" s="26"/>
      <c r="AA56" s="29">
        <f>V56</f>
        <v>349.93333333333334</v>
      </c>
      <c r="AB56" s="19">
        <f t="shared" si="55"/>
        <v>19</v>
      </c>
      <c r="AC56">
        <f>TRUNC(AA56/30)+1</f>
        <v>12</v>
      </c>
      <c r="AD56" t="str">
        <f t="shared" si="56"/>
        <v>PI</v>
      </c>
      <c r="AE56">
        <f>(AA56-TRUNC(AA56))*60</f>
        <v>56.00000000000023</v>
      </c>
      <c r="AF56" s="19"/>
    </row>
    <row r="57" spans="2:32" ht="4.5" customHeight="1">
      <c r="B57" s="19"/>
      <c r="C57" s="7"/>
      <c r="D57" s="7"/>
      <c r="E57" s="7"/>
      <c r="F57" s="7"/>
      <c r="G57" s="9"/>
      <c r="H57" s="7"/>
      <c r="I57" s="20"/>
      <c r="S57" s="29"/>
      <c r="T57" s="26"/>
      <c r="U57" s="26"/>
      <c r="V57" s="26"/>
      <c r="W57" s="29"/>
      <c r="X57" s="26"/>
      <c r="Y57" s="26"/>
      <c r="Z57" s="26"/>
      <c r="AA57" s="29"/>
      <c r="AB57" s="19"/>
      <c r="AF57" s="19"/>
    </row>
    <row r="58" spans="1:32" ht="12.75">
      <c r="A58" s="72" t="s">
        <v>1178</v>
      </c>
      <c r="B58" s="43">
        <v>7</v>
      </c>
      <c r="C58" s="44" t="s">
        <v>135</v>
      </c>
      <c r="D58" s="44" t="s">
        <v>7</v>
      </c>
      <c r="E58" s="44" t="s">
        <v>11</v>
      </c>
      <c r="F58" s="44" t="s">
        <v>12</v>
      </c>
      <c r="G58" s="51" t="s">
        <v>13</v>
      </c>
      <c r="H58" s="44" t="str">
        <f aca="true" t="shared" si="57" ref="H58:H67">CONCATENATE(TEXT(K58,0),L58,TEXT(M58,0))</f>
        <v>22PI12</v>
      </c>
      <c r="I58" s="46" t="str">
        <f t="shared" si="32"/>
        <v>7LI48</v>
      </c>
      <c r="K58">
        <f t="shared" si="33"/>
        <v>22</v>
      </c>
      <c r="L58" t="str">
        <f t="shared" si="34"/>
        <v>PI</v>
      </c>
      <c r="M58">
        <f t="shared" si="35"/>
        <v>11.999999999999318</v>
      </c>
      <c r="O58">
        <f t="shared" si="36"/>
        <v>7</v>
      </c>
      <c r="P58" t="str">
        <f aca="true" t="shared" si="58" ref="P58:P67">VLOOKUP(AC58,SIGNS,4)</f>
        <v>LI</v>
      </c>
      <c r="Q58">
        <f t="shared" si="37"/>
        <v>48.00000000000068</v>
      </c>
      <c r="S58" s="29">
        <f>CUSP7-VE</f>
        <v>82.45</v>
      </c>
      <c r="T58" s="26">
        <f t="shared" si="38"/>
        <v>82.45</v>
      </c>
      <c r="U58" s="26">
        <f aca="true" t="shared" si="59" ref="U58:U63">T58+ASC</f>
        <v>352.2</v>
      </c>
      <c r="V58" s="26">
        <f t="shared" si="39"/>
        <v>352.2</v>
      </c>
      <c r="W58" s="29"/>
      <c r="X58" s="26"/>
      <c r="Y58" s="26"/>
      <c r="Z58" s="26"/>
      <c r="AA58" s="29">
        <f aca="true" t="shared" si="60" ref="AA58:AA64">V58</f>
        <v>352.2</v>
      </c>
      <c r="AB58" s="19">
        <f aca="true" t="shared" si="61" ref="AB58:AB67">TRUNC(AA58)-VLOOKUP(AC58,SIGNS,3)</f>
        <v>22</v>
      </c>
      <c r="AC58">
        <f t="shared" si="40"/>
        <v>12</v>
      </c>
      <c r="AD58" t="str">
        <f aca="true" t="shared" si="62" ref="AD58:AD67">VLOOKUP(AC58,SIGNS,2)</f>
        <v>PI</v>
      </c>
      <c r="AE58">
        <f t="shared" si="41"/>
        <v>11.999999999999318</v>
      </c>
      <c r="AF58" s="19"/>
    </row>
    <row r="59" spans="1:32" ht="12.75">
      <c r="A59" s="72" t="s">
        <v>1179</v>
      </c>
      <c r="B59" s="19">
        <v>7</v>
      </c>
      <c r="C59" s="7" t="s">
        <v>136</v>
      </c>
      <c r="D59" s="7" t="s">
        <v>6</v>
      </c>
      <c r="E59" s="7" t="s">
        <v>8</v>
      </c>
      <c r="F59" s="7" t="s">
        <v>12</v>
      </c>
      <c r="G59" s="9" t="s">
        <v>14</v>
      </c>
      <c r="H59" s="7" t="str">
        <f t="shared" si="57"/>
        <v>27CP53</v>
      </c>
      <c r="I59" s="20" t="str">
        <f t="shared" si="32"/>
        <v>2SA7</v>
      </c>
      <c r="K59">
        <f t="shared" si="33"/>
        <v>27</v>
      </c>
      <c r="L59" t="str">
        <f t="shared" si="34"/>
        <v>CP</v>
      </c>
      <c r="M59">
        <f t="shared" si="35"/>
        <v>52.999999999999545</v>
      </c>
      <c r="O59">
        <f t="shared" si="36"/>
        <v>2</v>
      </c>
      <c r="P59" t="str">
        <f t="shared" si="58"/>
        <v>SA</v>
      </c>
      <c r="Q59">
        <f t="shared" si="37"/>
        <v>7.000000000000455</v>
      </c>
      <c r="S59" s="29">
        <f>MOON-SUN</f>
        <v>-28.133333333333326</v>
      </c>
      <c r="T59" s="26">
        <f t="shared" si="38"/>
        <v>331.8666666666667</v>
      </c>
      <c r="U59" s="26">
        <f t="shared" si="59"/>
        <v>601.6166666666667</v>
      </c>
      <c r="V59" s="26">
        <f t="shared" si="39"/>
        <v>241.61666666666667</v>
      </c>
      <c r="W59" s="29">
        <f>SUN-MOON</f>
        <v>28.133333333333326</v>
      </c>
      <c r="X59" s="26">
        <f>IF(W59&lt;0,W59+360,W59)</f>
        <v>28.133333333333326</v>
      </c>
      <c r="Y59" s="26">
        <f>X59+ASC</f>
        <v>297.8833333333333</v>
      </c>
      <c r="Z59" s="26">
        <f>IF(Y59&gt;360,Y59-360,Y59)</f>
        <v>297.8833333333333</v>
      </c>
      <c r="AA59" s="29">
        <f>IF(SECT="D",V59,Z59)</f>
        <v>297.8833333333333</v>
      </c>
      <c r="AB59" s="19">
        <f t="shared" si="61"/>
        <v>27</v>
      </c>
      <c r="AC59">
        <f t="shared" si="40"/>
        <v>10</v>
      </c>
      <c r="AD59" t="str">
        <f t="shared" si="62"/>
        <v>CP</v>
      </c>
      <c r="AE59">
        <f t="shared" si="41"/>
        <v>52.999999999999545</v>
      </c>
      <c r="AF59" s="19"/>
    </row>
    <row r="60" spans="1:32" ht="12.75">
      <c r="A60" s="72" t="s">
        <v>1182</v>
      </c>
      <c r="B60" s="19">
        <v>7</v>
      </c>
      <c r="C60" s="9" t="s">
        <v>956</v>
      </c>
      <c r="D60" s="7" t="s">
        <v>5</v>
      </c>
      <c r="E60" s="7" t="s">
        <v>7</v>
      </c>
      <c r="F60" s="7" t="s">
        <v>12</v>
      </c>
      <c r="G60" s="36" t="s">
        <v>13</v>
      </c>
      <c r="H60" s="7" t="str">
        <f t="shared" si="57"/>
        <v>3TA55</v>
      </c>
      <c r="I60" s="20" t="str">
        <f t="shared" si="32"/>
        <v>26LE5</v>
      </c>
      <c r="K60">
        <f t="shared" si="33"/>
        <v>3</v>
      </c>
      <c r="L60" t="str">
        <f t="shared" si="34"/>
        <v>TA</v>
      </c>
      <c r="M60">
        <f t="shared" si="35"/>
        <v>55.00000000000114</v>
      </c>
      <c r="O60">
        <f t="shared" si="36"/>
        <v>26</v>
      </c>
      <c r="P60" t="str">
        <f t="shared" si="58"/>
        <v>LE</v>
      </c>
      <c r="Q60">
        <f t="shared" si="37"/>
        <v>4.999999999998863</v>
      </c>
      <c r="S60" s="29">
        <f>VE-SA</f>
        <v>-235.83333333333331</v>
      </c>
      <c r="T60" s="26">
        <f t="shared" si="38"/>
        <v>124.16666666666669</v>
      </c>
      <c r="U60" s="26">
        <f t="shared" si="59"/>
        <v>393.9166666666667</v>
      </c>
      <c r="V60" s="26">
        <f t="shared" si="39"/>
        <v>33.916666666666686</v>
      </c>
      <c r="W60" s="29"/>
      <c r="X60" s="26"/>
      <c r="Y60" s="26"/>
      <c r="Z60" s="26"/>
      <c r="AA60" s="29">
        <f t="shared" si="60"/>
        <v>33.916666666666686</v>
      </c>
      <c r="AB60" s="19">
        <f t="shared" si="61"/>
        <v>3</v>
      </c>
      <c r="AC60">
        <f t="shared" si="40"/>
        <v>2</v>
      </c>
      <c r="AD60" t="str">
        <f t="shared" si="62"/>
        <v>TA</v>
      </c>
      <c r="AE60">
        <f t="shared" si="41"/>
        <v>55.00000000000114</v>
      </c>
      <c r="AF60" s="19"/>
    </row>
    <row r="61" spans="1:32" ht="12.75">
      <c r="A61" s="72" t="s">
        <v>1183</v>
      </c>
      <c r="B61" s="19">
        <v>7</v>
      </c>
      <c r="C61" s="9" t="s">
        <v>960</v>
      </c>
      <c r="D61" s="7" t="s">
        <v>7</v>
      </c>
      <c r="E61" s="7" t="s">
        <v>5</v>
      </c>
      <c r="F61" s="7" t="s">
        <v>12</v>
      </c>
      <c r="G61" s="36" t="s">
        <v>13</v>
      </c>
      <c r="H61" s="7" t="str">
        <f t="shared" si="57"/>
        <v>25LE35</v>
      </c>
      <c r="I61" s="20" t="str">
        <f t="shared" si="32"/>
        <v>4TA25</v>
      </c>
      <c r="K61">
        <f t="shared" si="33"/>
        <v>25</v>
      </c>
      <c r="L61" t="str">
        <f t="shared" si="34"/>
        <v>LE</v>
      </c>
      <c r="M61">
        <f t="shared" si="35"/>
        <v>34.99999999999886</v>
      </c>
      <c r="O61">
        <f t="shared" si="36"/>
        <v>4</v>
      </c>
      <c r="P61" t="str">
        <f t="shared" si="58"/>
        <v>TA</v>
      </c>
      <c r="Q61">
        <f t="shared" si="37"/>
        <v>25.000000000001137</v>
      </c>
      <c r="S61" s="29">
        <f>SA-VE</f>
        <v>235.83333333333331</v>
      </c>
      <c r="T61" s="26">
        <f t="shared" si="38"/>
        <v>235.83333333333331</v>
      </c>
      <c r="U61" s="26">
        <f t="shared" si="59"/>
        <v>505.5833333333333</v>
      </c>
      <c r="V61" s="26">
        <f t="shared" si="39"/>
        <v>145.58333333333331</v>
      </c>
      <c r="W61" s="29"/>
      <c r="X61" s="26"/>
      <c r="Y61" s="26"/>
      <c r="Z61" s="26"/>
      <c r="AA61" s="29">
        <f t="shared" si="60"/>
        <v>145.58333333333331</v>
      </c>
      <c r="AB61" s="19">
        <f t="shared" si="61"/>
        <v>25</v>
      </c>
      <c r="AC61">
        <f t="shared" si="40"/>
        <v>5</v>
      </c>
      <c r="AD61" t="str">
        <f t="shared" si="62"/>
        <v>LE</v>
      </c>
      <c r="AE61">
        <f t="shared" si="41"/>
        <v>34.99999999999886</v>
      </c>
      <c r="AF61" s="19"/>
    </row>
    <row r="62" spans="1:32" ht="12.75">
      <c r="A62" s="72" t="s">
        <v>1184</v>
      </c>
      <c r="B62" s="19">
        <v>7</v>
      </c>
      <c r="C62" s="7" t="s">
        <v>137</v>
      </c>
      <c r="D62" s="7" t="s">
        <v>6</v>
      </c>
      <c r="E62" s="7" t="s">
        <v>7</v>
      </c>
      <c r="F62" s="7" t="s">
        <v>12</v>
      </c>
      <c r="G62" s="36" t="s">
        <v>13</v>
      </c>
      <c r="H62" s="7" t="str">
        <f t="shared" si="57"/>
        <v>13AQ44</v>
      </c>
      <c r="I62" s="20" t="str">
        <f t="shared" si="32"/>
        <v>16SC16</v>
      </c>
      <c r="K62">
        <f t="shared" si="33"/>
        <v>13</v>
      </c>
      <c r="L62" t="str">
        <f t="shared" si="34"/>
        <v>AQ</v>
      </c>
      <c r="M62">
        <f t="shared" si="35"/>
        <v>44.00000000000091</v>
      </c>
      <c r="O62">
        <f t="shared" si="36"/>
        <v>16</v>
      </c>
      <c r="P62" t="str">
        <f t="shared" si="58"/>
        <v>SC</v>
      </c>
      <c r="Q62">
        <f t="shared" si="37"/>
        <v>15.99999999999909</v>
      </c>
      <c r="S62" s="29">
        <f>VE-SUN</f>
        <v>-316.01666666666665</v>
      </c>
      <c r="T62" s="26">
        <f t="shared" si="38"/>
        <v>43.98333333333335</v>
      </c>
      <c r="U62" s="26">
        <f t="shared" si="59"/>
        <v>313.73333333333335</v>
      </c>
      <c r="V62" s="26">
        <f t="shared" si="39"/>
        <v>313.73333333333335</v>
      </c>
      <c r="W62" s="29"/>
      <c r="X62" s="26"/>
      <c r="Y62" s="26"/>
      <c r="Z62" s="26"/>
      <c r="AA62" s="29">
        <f t="shared" si="60"/>
        <v>313.73333333333335</v>
      </c>
      <c r="AB62" s="19">
        <f t="shared" si="61"/>
        <v>13</v>
      </c>
      <c r="AC62">
        <f t="shared" si="40"/>
        <v>11</v>
      </c>
      <c r="AD62" t="str">
        <f t="shared" si="62"/>
        <v>AQ</v>
      </c>
      <c r="AE62">
        <f t="shared" si="41"/>
        <v>44.00000000000091</v>
      </c>
      <c r="AF62" s="19"/>
    </row>
    <row r="63" spans="1:32" ht="12.75">
      <c r="A63" s="72" t="s">
        <v>1185</v>
      </c>
      <c r="B63" s="19">
        <v>7</v>
      </c>
      <c r="C63" s="7" t="s">
        <v>138</v>
      </c>
      <c r="D63" s="7" t="s">
        <v>8</v>
      </c>
      <c r="E63" s="7" t="s">
        <v>9</v>
      </c>
      <c r="F63" s="7" t="s">
        <v>12</v>
      </c>
      <c r="G63" s="36" t="s">
        <v>13</v>
      </c>
      <c r="H63" s="7" t="str">
        <f t="shared" si="57"/>
        <v>0LI2</v>
      </c>
      <c r="I63" s="20" t="str">
        <f t="shared" si="32"/>
        <v>29PI58</v>
      </c>
      <c r="K63">
        <f t="shared" si="33"/>
        <v>0</v>
      </c>
      <c r="L63" t="str">
        <f t="shared" si="34"/>
        <v>LI</v>
      </c>
      <c r="M63">
        <f t="shared" si="35"/>
        <v>1.999999999998181</v>
      </c>
      <c r="O63">
        <f t="shared" si="36"/>
        <v>29</v>
      </c>
      <c r="P63" t="str">
        <f t="shared" si="58"/>
        <v>PI</v>
      </c>
      <c r="Q63">
        <f t="shared" si="37"/>
        <v>58.00000000000182</v>
      </c>
      <c r="S63" s="29">
        <f>MA-MOON</f>
        <v>-89.71666666666667</v>
      </c>
      <c r="T63" s="26">
        <f t="shared" si="38"/>
        <v>270.2833333333333</v>
      </c>
      <c r="U63" s="26">
        <f t="shared" si="59"/>
        <v>540.0333333333333</v>
      </c>
      <c r="V63" s="26">
        <f t="shared" si="39"/>
        <v>180.0333333333333</v>
      </c>
      <c r="W63" s="29"/>
      <c r="X63" s="26"/>
      <c r="Y63" s="26"/>
      <c r="Z63" s="26"/>
      <c r="AA63" s="29">
        <f t="shared" si="60"/>
        <v>180.0333333333333</v>
      </c>
      <c r="AB63" s="19">
        <f t="shared" si="61"/>
        <v>0</v>
      </c>
      <c r="AC63">
        <f t="shared" si="40"/>
        <v>7</v>
      </c>
      <c r="AD63" t="str">
        <f t="shared" si="62"/>
        <v>LI</v>
      </c>
      <c r="AE63">
        <f t="shared" si="41"/>
        <v>1.999999999998181</v>
      </c>
      <c r="AF63" s="19"/>
    </row>
    <row r="64" spans="2:32" ht="12.75">
      <c r="B64" s="19">
        <v>7</v>
      </c>
      <c r="C64" s="7" t="s">
        <v>20</v>
      </c>
      <c r="D64" s="7" t="s">
        <v>6</v>
      </c>
      <c r="E64" s="7" t="s">
        <v>8</v>
      </c>
      <c r="F64" s="7" t="s">
        <v>7</v>
      </c>
      <c r="G64" s="36" t="s">
        <v>13</v>
      </c>
      <c r="H64" s="7" t="str">
        <f t="shared" si="57"/>
        <v>9PI10</v>
      </c>
      <c r="I64" s="20" t="str">
        <f t="shared" si="32"/>
        <v>20LI50</v>
      </c>
      <c r="K64">
        <f t="shared" si="33"/>
        <v>9</v>
      </c>
      <c r="L64" t="str">
        <f t="shared" si="34"/>
        <v>PI</v>
      </c>
      <c r="M64">
        <f t="shared" si="35"/>
        <v>10.000000000001137</v>
      </c>
      <c r="O64">
        <f t="shared" si="36"/>
        <v>20</v>
      </c>
      <c r="P64" t="str">
        <f t="shared" si="58"/>
        <v>LI</v>
      </c>
      <c r="Q64">
        <f t="shared" si="37"/>
        <v>49.99999999999886</v>
      </c>
      <c r="S64" s="29">
        <f>MOON-SUN</f>
        <v>-28.133333333333326</v>
      </c>
      <c r="T64" s="26">
        <f t="shared" si="38"/>
        <v>331.8666666666667</v>
      </c>
      <c r="U64" s="26">
        <f>T64+VE</f>
        <v>339.1666666666667</v>
      </c>
      <c r="V64" s="26">
        <f t="shared" si="39"/>
        <v>339.1666666666667</v>
      </c>
      <c r="W64" s="29"/>
      <c r="X64" s="26"/>
      <c r="Y64" s="26"/>
      <c r="Z64" s="26"/>
      <c r="AA64" s="29">
        <f t="shared" si="60"/>
        <v>339.1666666666667</v>
      </c>
      <c r="AB64" s="19">
        <f t="shared" si="61"/>
        <v>9</v>
      </c>
      <c r="AC64">
        <f t="shared" si="40"/>
        <v>12</v>
      </c>
      <c r="AD64" t="str">
        <f t="shared" si="62"/>
        <v>PI</v>
      </c>
      <c r="AE64">
        <f t="shared" si="41"/>
        <v>10.000000000001137</v>
      </c>
      <c r="AF64" s="19"/>
    </row>
    <row r="65" spans="2:32" ht="12.75">
      <c r="B65" s="19">
        <v>7</v>
      </c>
      <c r="C65" s="7" t="s">
        <v>139</v>
      </c>
      <c r="D65" s="7" t="s">
        <v>9</v>
      </c>
      <c r="E65" s="7" t="s">
        <v>6</v>
      </c>
      <c r="F65" s="7" t="s">
        <v>12</v>
      </c>
      <c r="G65" s="9" t="s">
        <v>14</v>
      </c>
      <c r="H65" s="7" t="str">
        <f t="shared" si="57"/>
        <v>1VI54</v>
      </c>
      <c r="I65" s="20" t="str">
        <f t="shared" si="32"/>
        <v>28AR6</v>
      </c>
      <c r="K65">
        <f t="shared" si="33"/>
        <v>1</v>
      </c>
      <c r="L65" t="str">
        <f t="shared" si="34"/>
        <v>VI</v>
      </c>
      <c r="M65">
        <f t="shared" si="35"/>
        <v>53.999999999998636</v>
      </c>
      <c r="O65">
        <f t="shared" si="36"/>
        <v>28</v>
      </c>
      <c r="P65" t="str">
        <f t="shared" si="58"/>
        <v>AR</v>
      </c>
      <c r="Q65">
        <f t="shared" si="37"/>
        <v>6.000000000001364</v>
      </c>
      <c r="S65" s="29">
        <f>SUN-MA</f>
        <v>117.85</v>
      </c>
      <c r="T65" s="26">
        <f t="shared" si="38"/>
        <v>117.85</v>
      </c>
      <c r="U65" s="26">
        <f>T65+ASC</f>
        <v>387.6</v>
      </c>
      <c r="V65" s="26">
        <f t="shared" si="39"/>
        <v>27.600000000000023</v>
      </c>
      <c r="W65" s="29">
        <f>MA-SUN</f>
        <v>-117.85</v>
      </c>
      <c r="X65" s="26">
        <f>IF(W65&lt;0,W65+360,W65)</f>
        <v>242.15</v>
      </c>
      <c r="Y65" s="26">
        <f>X65+ASC</f>
        <v>511.9</v>
      </c>
      <c r="Z65" s="26">
        <f>IF(Y65&gt;360,Y65-360,Y65)</f>
        <v>151.89999999999998</v>
      </c>
      <c r="AA65" s="29">
        <f>IF(SECT="D",V65,Z65)</f>
        <v>151.89999999999998</v>
      </c>
      <c r="AB65" s="19">
        <f t="shared" si="61"/>
        <v>1</v>
      </c>
      <c r="AC65">
        <f t="shared" si="40"/>
        <v>6</v>
      </c>
      <c r="AD65" t="str">
        <f t="shared" si="62"/>
        <v>VI</v>
      </c>
      <c r="AE65">
        <f t="shared" si="41"/>
        <v>53.999999999998636</v>
      </c>
      <c r="AF65" s="19"/>
    </row>
    <row r="66" spans="2:32" ht="12.75">
      <c r="B66" s="19">
        <v>7</v>
      </c>
      <c r="C66" s="7" t="s">
        <v>140</v>
      </c>
      <c r="D66" s="7" t="s">
        <v>8</v>
      </c>
      <c r="E66" s="7" t="s">
        <v>7</v>
      </c>
      <c r="F66" s="7" t="s">
        <v>12</v>
      </c>
      <c r="G66" s="36" t="s">
        <v>13</v>
      </c>
      <c r="H66" s="7" t="str">
        <f t="shared" si="57"/>
        <v>11PI52</v>
      </c>
      <c r="I66" s="20" t="str">
        <f t="shared" si="32"/>
        <v>18LI8</v>
      </c>
      <c r="K66">
        <f t="shared" si="33"/>
        <v>11</v>
      </c>
      <c r="L66" t="str">
        <f t="shared" si="34"/>
        <v>PI</v>
      </c>
      <c r="M66">
        <f t="shared" si="35"/>
        <v>52.000000000000455</v>
      </c>
      <c r="O66">
        <f t="shared" si="36"/>
        <v>18</v>
      </c>
      <c r="P66" t="str">
        <f t="shared" si="58"/>
        <v>LI</v>
      </c>
      <c r="Q66">
        <f t="shared" si="37"/>
        <v>7.999999999999545</v>
      </c>
      <c r="S66" s="29">
        <f>VE-MOON</f>
        <v>-287.8833333333333</v>
      </c>
      <c r="T66" s="26">
        <f t="shared" si="38"/>
        <v>72.11666666666667</v>
      </c>
      <c r="U66" s="26">
        <f>T66+ASC</f>
        <v>341.8666666666667</v>
      </c>
      <c r="V66" s="26">
        <f t="shared" si="39"/>
        <v>341.8666666666667</v>
      </c>
      <c r="W66" s="29"/>
      <c r="X66" s="26"/>
      <c r="Y66" s="26"/>
      <c r="Z66" s="26"/>
      <c r="AA66" s="29">
        <f>V66</f>
        <v>341.8666666666667</v>
      </c>
      <c r="AB66" s="19">
        <f t="shared" si="61"/>
        <v>11</v>
      </c>
      <c r="AC66">
        <f t="shared" si="40"/>
        <v>12</v>
      </c>
      <c r="AD66" t="str">
        <f t="shared" si="62"/>
        <v>PI</v>
      </c>
      <c r="AE66">
        <f t="shared" si="41"/>
        <v>52.000000000000455</v>
      </c>
      <c r="AF66" s="19"/>
    </row>
    <row r="67" spans="2:32" ht="12.75">
      <c r="B67" s="47">
        <v>7</v>
      </c>
      <c r="C67" s="48" t="s">
        <v>141</v>
      </c>
      <c r="D67" s="48" t="s">
        <v>9</v>
      </c>
      <c r="E67" s="48" t="s">
        <v>10</v>
      </c>
      <c r="F67" s="48" t="s">
        <v>12</v>
      </c>
      <c r="G67" s="52" t="s">
        <v>14</v>
      </c>
      <c r="H67" s="48" t="str">
        <f t="shared" si="57"/>
        <v>3LE10</v>
      </c>
      <c r="I67" s="50" t="str">
        <f t="shared" si="32"/>
        <v>26TA50</v>
      </c>
      <c r="K67">
        <f t="shared" si="33"/>
        <v>3</v>
      </c>
      <c r="L67" t="str">
        <f t="shared" si="34"/>
        <v>LE</v>
      </c>
      <c r="M67">
        <f t="shared" si="35"/>
        <v>9.999999999997726</v>
      </c>
      <c r="O67">
        <f t="shared" si="36"/>
        <v>26</v>
      </c>
      <c r="P67" t="str">
        <f t="shared" si="58"/>
        <v>TA</v>
      </c>
      <c r="Q67">
        <f t="shared" si="37"/>
        <v>50.000000000002274</v>
      </c>
      <c r="S67" s="29">
        <f>JU-MA</f>
        <v>146.58333333333334</v>
      </c>
      <c r="T67" s="26">
        <f t="shared" si="38"/>
        <v>146.58333333333334</v>
      </c>
      <c r="U67" s="26">
        <f>T67+ASC</f>
        <v>416.33333333333337</v>
      </c>
      <c r="V67" s="26">
        <f t="shared" si="39"/>
        <v>56.33333333333337</v>
      </c>
      <c r="W67" s="29">
        <f>MA-JU</f>
        <v>-146.58333333333334</v>
      </c>
      <c r="X67" s="26">
        <f>IF(W67&lt;0,W67+360,W67)</f>
        <v>213.41666666666666</v>
      </c>
      <c r="Y67" s="26">
        <f>X67+ASC</f>
        <v>483.16666666666663</v>
      </c>
      <c r="Z67" s="26">
        <f>IF(Y67&gt;360,Y67-360,Y67)</f>
        <v>123.16666666666663</v>
      </c>
      <c r="AA67" s="29">
        <f>IF(SECT="D",V67,Z67)</f>
        <v>123.16666666666663</v>
      </c>
      <c r="AB67" s="19">
        <f t="shared" si="61"/>
        <v>3</v>
      </c>
      <c r="AC67">
        <f t="shared" si="40"/>
        <v>5</v>
      </c>
      <c r="AD67" t="str">
        <f t="shared" si="62"/>
        <v>LE</v>
      </c>
      <c r="AE67">
        <f t="shared" si="41"/>
        <v>9.999999999997726</v>
      </c>
      <c r="AF67" s="19"/>
    </row>
    <row r="68" spans="2:32" ht="5.25" customHeight="1">
      <c r="B68" s="19"/>
      <c r="C68" s="7"/>
      <c r="D68" s="7"/>
      <c r="E68" s="7"/>
      <c r="F68" s="7"/>
      <c r="G68" s="36"/>
      <c r="H68" s="7"/>
      <c r="I68" s="20"/>
      <c r="S68" s="29"/>
      <c r="T68" s="26"/>
      <c r="U68" s="26"/>
      <c r="V68" s="26"/>
      <c r="W68" s="29"/>
      <c r="X68" s="26"/>
      <c r="Y68" s="26"/>
      <c r="Z68" s="26"/>
      <c r="AA68" s="29"/>
      <c r="AB68" s="19"/>
      <c r="AF68" s="19"/>
    </row>
    <row r="69" spans="1:32" ht="12.75">
      <c r="A69" s="72" t="s">
        <v>1186</v>
      </c>
      <c r="B69" s="43">
        <v>8</v>
      </c>
      <c r="C69" s="44" t="s">
        <v>370</v>
      </c>
      <c r="D69" s="44" t="s">
        <v>8</v>
      </c>
      <c r="E69" s="44" t="s">
        <v>267</v>
      </c>
      <c r="F69" s="44" t="s">
        <v>5</v>
      </c>
      <c r="G69" s="51" t="s">
        <v>13</v>
      </c>
      <c r="H69" s="44" t="str">
        <f>CONCATENATE(TEXT(K69,0),L69,TEXT(M69,0))</f>
        <v>11GE51</v>
      </c>
      <c r="I69" s="46" t="str">
        <f t="shared" si="32"/>
        <v>18CA9</v>
      </c>
      <c r="K69">
        <f t="shared" si="33"/>
        <v>11</v>
      </c>
      <c r="L69" t="str">
        <f t="shared" si="34"/>
        <v>GE</v>
      </c>
      <c r="M69">
        <f t="shared" si="35"/>
        <v>50.999999999997954</v>
      </c>
      <c r="O69">
        <f t="shared" si="36"/>
        <v>18</v>
      </c>
      <c r="P69" t="str">
        <f>VLOOKUP(AC69,SIGNS,4)</f>
        <v>CA</v>
      </c>
      <c r="Q69">
        <f t="shared" si="37"/>
        <v>9.000000000002046</v>
      </c>
      <c r="S69" s="29">
        <f>CUSP8-MOON</f>
        <v>-171.28333333333336</v>
      </c>
      <c r="T69" s="26">
        <f t="shared" si="38"/>
        <v>188.71666666666664</v>
      </c>
      <c r="U69" s="26">
        <f>T69+SA</f>
        <v>431.84999999999997</v>
      </c>
      <c r="V69" s="26">
        <f t="shared" si="39"/>
        <v>71.84999999999997</v>
      </c>
      <c r="W69" s="29"/>
      <c r="X69" s="26"/>
      <c r="Y69" s="26"/>
      <c r="Z69" s="26"/>
      <c r="AA69" s="29">
        <f>V69</f>
        <v>71.84999999999997</v>
      </c>
      <c r="AB69" s="19">
        <f>TRUNC(AA69)-VLOOKUP(AC69,SIGNS,3)</f>
        <v>11</v>
      </c>
      <c r="AC69">
        <f t="shared" si="40"/>
        <v>3</v>
      </c>
      <c r="AD69" t="str">
        <f>VLOOKUP(AC69,SIGNS,2)</f>
        <v>GE</v>
      </c>
      <c r="AE69">
        <f t="shared" si="41"/>
        <v>50.999999999997954</v>
      </c>
      <c r="AF69" s="19"/>
    </row>
    <row r="70" spans="1:32" ht="12.75">
      <c r="A70" s="72" t="s">
        <v>1187</v>
      </c>
      <c r="B70" s="19">
        <v>8</v>
      </c>
      <c r="C70" s="9" t="s">
        <v>376</v>
      </c>
      <c r="D70" s="7" t="s">
        <v>371</v>
      </c>
      <c r="E70" s="7" t="s">
        <v>8</v>
      </c>
      <c r="F70" s="7" t="s">
        <v>12</v>
      </c>
      <c r="G70" s="9" t="s">
        <v>14</v>
      </c>
      <c r="H70" s="7" t="str">
        <f>CONCATENATE(TEXT(K70,0),L70,TEXT(M70,0))</f>
        <v>26AQ37</v>
      </c>
      <c r="I70" s="20" t="str">
        <f t="shared" si="32"/>
        <v>3SC23</v>
      </c>
      <c r="K70">
        <f t="shared" si="33"/>
        <v>26</v>
      </c>
      <c r="L70" t="str">
        <f t="shared" si="34"/>
        <v>AQ</v>
      </c>
      <c r="M70">
        <f t="shared" si="35"/>
        <v>37.000000000000455</v>
      </c>
      <c r="O70">
        <f t="shared" si="36"/>
        <v>3</v>
      </c>
      <c r="P70" t="str">
        <f>VLOOKUP(AC70,SIGNS,4)</f>
        <v>SC</v>
      </c>
      <c r="Q70">
        <f t="shared" si="37"/>
        <v>22.999999999999545</v>
      </c>
      <c r="S70" s="29">
        <f>MOON-LORD1</f>
        <v>-56.866666666666674</v>
      </c>
      <c r="T70" s="26">
        <f t="shared" si="38"/>
        <v>303.1333333333333</v>
      </c>
      <c r="U70" s="26">
        <f>T70+ASC</f>
        <v>572.8833333333333</v>
      </c>
      <c r="V70" s="26">
        <f t="shared" si="39"/>
        <v>212.88333333333333</v>
      </c>
      <c r="W70" s="29">
        <f>LORD1-MOON</f>
        <v>56.866666666666674</v>
      </c>
      <c r="X70" s="26">
        <f>IF(W70&lt;0,W70+360,W70)</f>
        <v>56.866666666666674</v>
      </c>
      <c r="Y70" s="26">
        <f>X70+ASC</f>
        <v>326.6166666666667</v>
      </c>
      <c r="Z70" s="26">
        <f>IF(Y70&gt;360,Y70-360,Y70)</f>
        <v>326.6166666666667</v>
      </c>
      <c r="AA70" s="29">
        <f>IF(SECT="D",V70,Z70)</f>
        <v>326.6166666666667</v>
      </c>
      <c r="AB70" s="19">
        <f>TRUNC(AA70)-VLOOKUP(AC70,SIGNS,3)</f>
        <v>26</v>
      </c>
      <c r="AC70">
        <f t="shared" si="40"/>
        <v>11</v>
      </c>
      <c r="AD70" t="str">
        <f>VLOOKUP(AC70,SIGNS,2)</f>
        <v>AQ</v>
      </c>
      <c r="AE70">
        <f t="shared" si="41"/>
        <v>37.000000000000455</v>
      </c>
      <c r="AF70" s="19"/>
    </row>
    <row r="71" spans="1:32" ht="12.75">
      <c r="A71" s="72" t="s">
        <v>1188</v>
      </c>
      <c r="B71" s="19">
        <v>8</v>
      </c>
      <c r="C71" s="9" t="s">
        <v>1001</v>
      </c>
      <c r="D71" s="7" t="s">
        <v>5</v>
      </c>
      <c r="E71" s="7" t="s">
        <v>477</v>
      </c>
      <c r="F71" s="7" t="s">
        <v>12</v>
      </c>
      <c r="G71" s="36" t="s">
        <v>13</v>
      </c>
      <c r="H71" s="7" t="str">
        <f>CONCATENATE(TEXT(K71,0),L71,TEXT(M71,0))</f>
        <v>19PI56</v>
      </c>
      <c r="I71" s="20" t="str">
        <f t="shared" si="32"/>
        <v>10LI4</v>
      </c>
      <c r="K71">
        <f t="shared" si="33"/>
        <v>19</v>
      </c>
      <c r="L71" t="str">
        <f t="shared" si="34"/>
        <v>PI</v>
      </c>
      <c r="M71">
        <f t="shared" si="35"/>
        <v>56.00000000000023</v>
      </c>
      <c r="O71">
        <f t="shared" si="36"/>
        <v>10</v>
      </c>
      <c r="P71" t="str">
        <f>VLOOKUP(AC71,SIGNS,4)</f>
        <v>LI</v>
      </c>
      <c r="Q71">
        <f t="shared" si="37"/>
        <v>3.9999999999997726</v>
      </c>
      <c r="S71" s="29">
        <f>LORDSANS-SA</f>
        <v>80.18333333333334</v>
      </c>
      <c r="T71" s="26">
        <f t="shared" si="38"/>
        <v>80.18333333333334</v>
      </c>
      <c r="U71" s="26">
        <f>T71+ASC</f>
        <v>349.93333333333334</v>
      </c>
      <c r="V71" s="26">
        <f t="shared" si="39"/>
        <v>349.93333333333334</v>
      </c>
      <c r="W71" s="29"/>
      <c r="X71" s="26"/>
      <c r="Y71" s="26"/>
      <c r="Z71" s="26"/>
      <c r="AA71" s="29">
        <f>V71</f>
        <v>349.93333333333334</v>
      </c>
      <c r="AB71" s="19">
        <f>TRUNC(AA71)-VLOOKUP(AC71,SIGNS,3)</f>
        <v>19</v>
      </c>
      <c r="AC71">
        <f t="shared" si="40"/>
        <v>12</v>
      </c>
      <c r="AD71" t="str">
        <f>VLOOKUP(AC71,SIGNS,2)</f>
        <v>PI</v>
      </c>
      <c r="AE71">
        <f t="shared" si="41"/>
        <v>56.00000000000023</v>
      </c>
      <c r="AF71" s="19"/>
    </row>
    <row r="72" spans="1:32" ht="12.75">
      <c r="A72" s="72" t="s">
        <v>1189</v>
      </c>
      <c r="B72" s="19">
        <v>8</v>
      </c>
      <c r="C72" s="9" t="s">
        <v>1005</v>
      </c>
      <c r="D72" s="7" t="s">
        <v>5</v>
      </c>
      <c r="E72" s="7" t="s">
        <v>9</v>
      </c>
      <c r="F72" s="7" t="s">
        <v>50</v>
      </c>
      <c r="G72" s="9" t="s">
        <v>14</v>
      </c>
      <c r="H72" s="7" t="str">
        <f>CONCATENATE(TEXT(K72,0),L72,TEXT(M72,0))</f>
        <v>17AR46</v>
      </c>
      <c r="I72" s="20" t="str">
        <f t="shared" si="32"/>
        <v>12VI14</v>
      </c>
      <c r="K72">
        <f t="shared" si="33"/>
        <v>17</v>
      </c>
      <c r="L72" t="str">
        <f t="shared" si="34"/>
        <v>AR</v>
      </c>
      <c r="M72">
        <f t="shared" si="35"/>
        <v>45.99999999999909</v>
      </c>
      <c r="O72">
        <f t="shared" si="36"/>
        <v>12</v>
      </c>
      <c r="P72" t="str">
        <f>VLOOKUP(AC72,SIGNS,4)</f>
        <v>VI</v>
      </c>
      <c r="Q72">
        <f t="shared" si="37"/>
        <v>14.00000000000091</v>
      </c>
      <c r="S72" s="29">
        <f>MA-SA</f>
        <v>-37.66666666666666</v>
      </c>
      <c r="T72" s="26">
        <f t="shared" si="38"/>
        <v>322.33333333333337</v>
      </c>
      <c r="U72" s="26">
        <f>T72+ME</f>
        <v>662.4333333333334</v>
      </c>
      <c r="V72" s="26">
        <f t="shared" si="39"/>
        <v>302.4333333333334</v>
      </c>
      <c r="W72" s="29">
        <f>SA-MA</f>
        <v>37.66666666666666</v>
      </c>
      <c r="X72" s="26">
        <f>IF(W72&lt;0,W72+360,W72)</f>
        <v>37.66666666666666</v>
      </c>
      <c r="Y72" s="26">
        <f>X72+ME</f>
        <v>377.76666666666665</v>
      </c>
      <c r="Z72" s="26">
        <f>IF(Y72&gt;360,Y72-360,Y72)</f>
        <v>17.76666666666665</v>
      </c>
      <c r="AA72" s="29">
        <f>IF(SECT="D",V72,Z72)</f>
        <v>17.76666666666665</v>
      </c>
      <c r="AB72" s="19">
        <f>TRUNC(AA72)-VLOOKUP(AC72,SIGNS,3)</f>
        <v>17</v>
      </c>
      <c r="AC72">
        <f t="shared" si="40"/>
        <v>1</v>
      </c>
      <c r="AD72" t="str">
        <f>VLOOKUP(AC72,SIGNS,2)</f>
        <v>AR</v>
      </c>
      <c r="AE72">
        <f t="shared" si="41"/>
        <v>45.99999999999909</v>
      </c>
      <c r="AF72" s="19"/>
    </row>
    <row r="73" spans="2:32" ht="12.75">
      <c r="B73" s="47">
        <v>8</v>
      </c>
      <c r="C73" s="52" t="s">
        <v>1008</v>
      </c>
      <c r="D73" s="48" t="s">
        <v>5</v>
      </c>
      <c r="E73" s="48" t="s">
        <v>50</v>
      </c>
      <c r="F73" s="48" t="s">
        <v>12</v>
      </c>
      <c r="G73" s="52" t="s">
        <v>14</v>
      </c>
      <c r="H73" s="48" t="str">
        <f>CONCATENATE(TEXT(K73,0),L73,TEXT(M73,0))</f>
        <v>22VI47</v>
      </c>
      <c r="I73" s="50" t="str">
        <f t="shared" si="32"/>
        <v>7AR13</v>
      </c>
      <c r="K73">
        <f t="shared" si="33"/>
        <v>22</v>
      </c>
      <c r="L73" t="str">
        <f t="shared" si="34"/>
        <v>VI</v>
      </c>
      <c r="M73">
        <f t="shared" si="35"/>
        <v>46.99999999999818</v>
      </c>
      <c r="O73">
        <f t="shared" si="36"/>
        <v>7</v>
      </c>
      <c r="P73" t="str">
        <f>VLOOKUP(AC73,SIGNS,4)</f>
        <v>AR</v>
      </c>
      <c r="Q73">
        <f t="shared" si="37"/>
        <v>13.000000000001819</v>
      </c>
      <c r="S73" s="29">
        <f>ME-SA</f>
        <v>96.9666666666667</v>
      </c>
      <c r="T73" s="26">
        <f t="shared" si="38"/>
        <v>96.9666666666667</v>
      </c>
      <c r="U73" s="26">
        <f>T73+ASC</f>
        <v>366.7166666666667</v>
      </c>
      <c r="V73" s="26">
        <f t="shared" si="39"/>
        <v>6.716666666666697</v>
      </c>
      <c r="W73" s="29">
        <f>SA-ME</f>
        <v>-96.9666666666667</v>
      </c>
      <c r="X73" s="26">
        <f>IF(W73&lt;0,W73+360,W73)</f>
        <v>263.0333333333333</v>
      </c>
      <c r="Y73" s="26">
        <f>X73+ASC</f>
        <v>532.7833333333333</v>
      </c>
      <c r="Z73" s="26">
        <f>IF(Y73&gt;360,Y73-360,Y73)</f>
        <v>172.7833333333333</v>
      </c>
      <c r="AA73" s="29">
        <f>IF(SECT="D",V73,Z73)</f>
        <v>172.7833333333333</v>
      </c>
      <c r="AB73" s="19">
        <f>TRUNC(AA73)-VLOOKUP(AC73,SIGNS,3)</f>
        <v>22</v>
      </c>
      <c r="AC73">
        <f t="shared" si="40"/>
        <v>6</v>
      </c>
      <c r="AD73" t="str">
        <f>VLOOKUP(AC73,SIGNS,2)</f>
        <v>VI</v>
      </c>
      <c r="AE73">
        <f t="shared" si="41"/>
        <v>46.99999999999818</v>
      </c>
      <c r="AF73" s="19"/>
    </row>
    <row r="74" spans="2:32" ht="4.5" customHeight="1">
      <c r="B74" s="19"/>
      <c r="C74" s="7"/>
      <c r="D74" s="7"/>
      <c r="E74" s="7"/>
      <c r="F74" s="7"/>
      <c r="G74" s="9"/>
      <c r="H74" s="7"/>
      <c r="I74" s="20"/>
      <c r="S74" s="29"/>
      <c r="T74" s="26"/>
      <c r="U74" s="26"/>
      <c r="V74" s="26"/>
      <c r="W74" s="29"/>
      <c r="X74" s="26"/>
      <c r="Y74" s="26"/>
      <c r="Z74" s="26"/>
      <c r="AA74" s="29"/>
      <c r="AB74" s="19"/>
      <c r="AF74" s="19"/>
    </row>
    <row r="75" spans="1:32" ht="12.75">
      <c r="A75" s="72" t="s">
        <v>1190</v>
      </c>
      <c r="B75" s="43">
        <v>9</v>
      </c>
      <c r="C75" s="44" t="s">
        <v>265</v>
      </c>
      <c r="D75" s="44" t="s">
        <v>266</v>
      </c>
      <c r="E75" s="44" t="s">
        <v>268</v>
      </c>
      <c r="F75" s="44" t="s">
        <v>12</v>
      </c>
      <c r="G75" s="51" t="s">
        <v>13</v>
      </c>
      <c r="H75" s="44" t="str">
        <f aca="true" t="shared" si="63" ref="H75:H81">CONCATENATE(TEXT(K75,0),L75,TEXT(M75,0))</f>
        <v>0CA56</v>
      </c>
      <c r="I75" s="46" t="str">
        <f t="shared" si="32"/>
        <v>29GE4</v>
      </c>
      <c r="K75">
        <f t="shared" si="33"/>
        <v>0</v>
      </c>
      <c r="L75" t="str">
        <f t="shared" si="34"/>
        <v>CA</v>
      </c>
      <c r="M75">
        <f t="shared" si="35"/>
        <v>55.99999999999682</v>
      </c>
      <c r="O75">
        <f t="shared" si="36"/>
        <v>29</v>
      </c>
      <c r="P75" t="str">
        <f aca="true" t="shared" si="64" ref="P75:P81">VLOOKUP(AC75,SIGNS,4)</f>
        <v>GE</v>
      </c>
      <c r="Q75">
        <f t="shared" si="37"/>
        <v>4.000000000003183</v>
      </c>
      <c r="S75" s="29">
        <f>CUSP9-LORD9</f>
        <v>-178.81666666666672</v>
      </c>
      <c r="T75" s="26">
        <f t="shared" si="38"/>
        <v>181.18333333333328</v>
      </c>
      <c r="U75" s="26">
        <f>T75+ASC</f>
        <v>450.9333333333333</v>
      </c>
      <c r="V75" s="26">
        <f t="shared" si="39"/>
        <v>90.93333333333328</v>
      </c>
      <c r="W75" s="29"/>
      <c r="X75" s="26"/>
      <c r="Y75" s="26"/>
      <c r="Z75" s="26"/>
      <c r="AA75" s="29">
        <f>V75</f>
        <v>90.93333333333328</v>
      </c>
      <c r="AB75" s="19">
        <f aca="true" t="shared" si="65" ref="AB75:AB81">TRUNC(AA75)-VLOOKUP(AC75,SIGNS,3)</f>
        <v>0</v>
      </c>
      <c r="AC75">
        <f t="shared" si="40"/>
        <v>4</v>
      </c>
      <c r="AD75" t="str">
        <f aca="true" t="shared" si="66" ref="AD75:AD81">VLOOKUP(AC75,SIGNS,2)</f>
        <v>CA</v>
      </c>
      <c r="AE75">
        <f t="shared" si="41"/>
        <v>55.99999999999682</v>
      </c>
      <c r="AF75" s="19"/>
    </row>
    <row r="76" spans="1:32" ht="12.75">
      <c r="A76" s="72" t="s">
        <v>1191</v>
      </c>
      <c r="B76" s="19">
        <v>9</v>
      </c>
      <c r="C76" s="9" t="s">
        <v>1029</v>
      </c>
      <c r="D76" s="7" t="s">
        <v>5</v>
      </c>
      <c r="E76" s="7" t="s">
        <v>272</v>
      </c>
      <c r="F76" s="7" t="s">
        <v>12</v>
      </c>
      <c r="G76" s="9" t="s">
        <v>14</v>
      </c>
      <c r="H76" s="7" t="str">
        <f t="shared" si="63"/>
        <v>17TA53</v>
      </c>
      <c r="I76" s="20" t="str">
        <f t="shared" si="32"/>
        <v>12LE7</v>
      </c>
      <c r="K76">
        <f t="shared" si="33"/>
        <v>17</v>
      </c>
      <c r="L76" t="str">
        <f t="shared" si="34"/>
        <v>TA</v>
      </c>
      <c r="M76">
        <f t="shared" si="35"/>
        <v>52.999999999999545</v>
      </c>
      <c r="O76">
        <f t="shared" si="36"/>
        <v>12</v>
      </c>
      <c r="P76" t="str">
        <f t="shared" si="64"/>
        <v>LE</v>
      </c>
      <c r="Q76">
        <f t="shared" si="37"/>
        <v>7.000000000000455</v>
      </c>
      <c r="S76" s="29">
        <f>105-SA</f>
        <v>-138.13333333333333</v>
      </c>
      <c r="T76" s="26">
        <f t="shared" si="38"/>
        <v>221.86666666666667</v>
      </c>
      <c r="U76" s="26">
        <f>T76+ASC</f>
        <v>491.6166666666667</v>
      </c>
      <c r="V76" s="26">
        <f t="shared" si="39"/>
        <v>131.61666666666667</v>
      </c>
      <c r="W76" s="29">
        <f>SA-105</f>
        <v>138.13333333333333</v>
      </c>
      <c r="X76" s="26">
        <f aca="true" t="shared" si="67" ref="X76:X81">IF(W76&lt;0,W76+360,W76)</f>
        <v>138.13333333333333</v>
      </c>
      <c r="Y76" s="26">
        <f>X76+ASC</f>
        <v>407.8833333333333</v>
      </c>
      <c r="Z76" s="26">
        <f aca="true" t="shared" si="68" ref="Z76:Z81">IF(Y76&gt;360,Y76-360,Y76)</f>
        <v>47.883333333333326</v>
      </c>
      <c r="AA76" s="29">
        <f aca="true" t="shared" si="69" ref="AA76:AA81">IF(SECT="D",V76,Z76)</f>
        <v>47.883333333333326</v>
      </c>
      <c r="AB76" s="19">
        <f t="shared" si="65"/>
        <v>17</v>
      </c>
      <c r="AC76">
        <f t="shared" si="40"/>
        <v>2</v>
      </c>
      <c r="AD76" t="str">
        <f t="shared" si="66"/>
        <v>TA</v>
      </c>
      <c r="AE76">
        <f t="shared" si="41"/>
        <v>52.999999999999545</v>
      </c>
      <c r="AF76" s="19"/>
    </row>
    <row r="77" spans="1:32" ht="12.75">
      <c r="A77" s="72" t="s">
        <v>1192</v>
      </c>
      <c r="B77" s="19">
        <v>9</v>
      </c>
      <c r="C77" s="9" t="s">
        <v>1014</v>
      </c>
      <c r="D77" s="7" t="s">
        <v>8</v>
      </c>
      <c r="E77" s="7" t="s">
        <v>50</v>
      </c>
      <c r="F77" s="7" t="s">
        <v>12</v>
      </c>
      <c r="G77" s="9" t="s">
        <v>14</v>
      </c>
      <c r="H77" s="7" t="str">
        <f t="shared" si="63"/>
        <v>14SC50</v>
      </c>
      <c r="I77" s="20" t="str">
        <f t="shared" si="32"/>
        <v>15AQ10</v>
      </c>
      <c r="K77">
        <f t="shared" si="33"/>
        <v>14</v>
      </c>
      <c r="L77" t="str">
        <f t="shared" si="34"/>
        <v>SC</v>
      </c>
      <c r="M77">
        <f t="shared" si="35"/>
        <v>49.99999999999545</v>
      </c>
      <c r="O77">
        <f t="shared" si="36"/>
        <v>15</v>
      </c>
      <c r="P77" t="str">
        <f t="shared" si="64"/>
        <v>AQ</v>
      </c>
      <c r="Q77">
        <f t="shared" si="37"/>
        <v>10.000000000004547</v>
      </c>
      <c r="S77" s="29">
        <f>ME-MOON</f>
        <v>44.916666666666686</v>
      </c>
      <c r="T77" s="26">
        <f t="shared" si="38"/>
        <v>44.916666666666686</v>
      </c>
      <c r="U77" s="26">
        <f>T77+ASC</f>
        <v>314.6666666666667</v>
      </c>
      <c r="V77" s="26">
        <f t="shared" si="39"/>
        <v>314.6666666666667</v>
      </c>
      <c r="W77" s="29">
        <f>MOON-ME</f>
        <v>-44.916666666666686</v>
      </c>
      <c r="X77" s="26">
        <f t="shared" si="67"/>
        <v>315.0833333333333</v>
      </c>
      <c r="Y77" s="26">
        <f>X77+ASC</f>
        <v>584.8333333333333</v>
      </c>
      <c r="Z77" s="26">
        <f t="shared" si="68"/>
        <v>224.83333333333326</v>
      </c>
      <c r="AA77" s="29">
        <f t="shared" si="69"/>
        <v>224.83333333333326</v>
      </c>
      <c r="AB77" s="19">
        <f t="shared" si="65"/>
        <v>14</v>
      </c>
      <c r="AC77">
        <f t="shared" si="40"/>
        <v>8</v>
      </c>
      <c r="AD77" t="str">
        <f t="shared" si="66"/>
        <v>SC</v>
      </c>
      <c r="AE77">
        <f t="shared" si="41"/>
        <v>49.99999999999545</v>
      </c>
      <c r="AF77" s="19"/>
    </row>
    <row r="78" spans="1:32" ht="12.75">
      <c r="A78" s="72" t="s">
        <v>1193</v>
      </c>
      <c r="B78" s="19">
        <v>9</v>
      </c>
      <c r="C78" s="9" t="s">
        <v>1030</v>
      </c>
      <c r="D78" s="7" t="s">
        <v>5</v>
      </c>
      <c r="E78" s="7" t="s">
        <v>8</v>
      </c>
      <c r="F78" s="7" t="s">
        <v>12</v>
      </c>
      <c r="G78" s="9" t="s">
        <v>14</v>
      </c>
      <c r="H78" s="7" t="str">
        <f>CONCATENATE(TEXT(K78,0),L78,TEXT(M78,0))</f>
        <v>7SC42</v>
      </c>
      <c r="I78" s="20" t="str">
        <f>CONCATENATE(TEXT(O78,0),P78,TEXT(Q78,0))</f>
        <v>22AQ18</v>
      </c>
      <c r="K78">
        <f>AB78</f>
        <v>7</v>
      </c>
      <c r="L78" t="str">
        <f>AD78</f>
        <v>SC</v>
      </c>
      <c r="M78">
        <f>AE78</f>
        <v>42.00000000000273</v>
      </c>
      <c r="O78">
        <f>29-K78</f>
        <v>22</v>
      </c>
      <c r="P78" t="str">
        <f>VLOOKUP(AC78,SIGNS,4)</f>
        <v>AQ</v>
      </c>
      <c r="Q78">
        <f>60-M78</f>
        <v>17.99999999999727</v>
      </c>
      <c r="S78" s="29">
        <f>MOON-SA</f>
        <v>52.05000000000001</v>
      </c>
      <c r="T78" s="26">
        <f>IF(S78&lt;0,S78+360,S78)</f>
        <v>52.05000000000001</v>
      </c>
      <c r="U78" s="26">
        <f>T78+ASC</f>
        <v>321.8</v>
      </c>
      <c r="V78" s="26">
        <f>IF(U78&gt;360,U78-360,U78)</f>
        <v>321.8</v>
      </c>
      <c r="W78" s="29">
        <f>SA-MOON</f>
        <v>-52.05000000000001</v>
      </c>
      <c r="X78" s="26">
        <f t="shared" si="67"/>
        <v>307.95</v>
      </c>
      <c r="Y78" s="26">
        <f>X78+ASC</f>
        <v>577.7</v>
      </c>
      <c r="Z78" s="26">
        <f t="shared" si="68"/>
        <v>217.70000000000005</v>
      </c>
      <c r="AA78" s="29">
        <f t="shared" si="69"/>
        <v>217.70000000000005</v>
      </c>
      <c r="AB78" s="19">
        <f>TRUNC(AA78)-VLOOKUP(AC78,SIGNS,3)</f>
        <v>7</v>
      </c>
      <c r="AC78">
        <f>TRUNC(AA78/30)+1</f>
        <v>8</v>
      </c>
      <c r="AD78" t="str">
        <f>VLOOKUP(AC78,SIGNS,2)</f>
        <v>SC</v>
      </c>
      <c r="AE78">
        <f>(AA78-TRUNC(AA78))*60</f>
        <v>42.00000000000273</v>
      </c>
      <c r="AF78" s="19"/>
    </row>
    <row r="79" spans="1:32" ht="12.75">
      <c r="A79" s="72" t="s">
        <v>1194</v>
      </c>
      <c r="B79" s="19">
        <v>9</v>
      </c>
      <c r="C79" s="9" t="s">
        <v>278</v>
      </c>
      <c r="D79" s="7" t="s">
        <v>5</v>
      </c>
      <c r="E79" s="7" t="s">
        <v>10</v>
      </c>
      <c r="F79" s="7" t="s">
        <v>50</v>
      </c>
      <c r="G79" s="9" t="s">
        <v>14</v>
      </c>
      <c r="H79" s="7" t="str">
        <f t="shared" si="63"/>
        <v>21SC11</v>
      </c>
      <c r="I79" s="20" t="str">
        <f t="shared" si="32"/>
        <v>8AQ49</v>
      </c>
      <c r="K79">
        <f t="shared" si="33"/>
        <v>21</v>
      </c>
      <c r="L79" t="str">
        <f t="shared" si="34"/>
        <v>SC</v>
      </c>
      <c r="M79">
        <f t="shared" si="35"/>
        <v>11.000000000003638</v>
      </c>
      <c r="O79">
        <f t="shared" si="36"/>
        <v>8</v>
      </c>
      <c r="P79" t="str">
        <f t="shared" si="64"/>
        <v>AQ</v>
      </c>
      <c r="Q79">
        <f t="shared" si="37"/>
        <v>48.99999999999636</v>
      </c>
      <c r="S79" s="29">
        <f>JU-SA</f>
        <v>108.91666666666669</v>
      </c>
      <c r="T79" s="26">
        <f t="shared" si="38"/>
        <v>108.91666666666669</v>
      </c>
      <c r="U79" s="26">
        <f>T79+ME</f>
        <v>449.0166666666667</v>
      </c>
      <c r="V79" s="26">
        <f t="shared" si="39"/>
        <v>89.01666666666671</v>
      </c>
      <c r="W79" s="29">
        <f>SA-JU</f>
        <v>-108.91666666666669</v>
      </c>
      <c r="X79" s="26">
        <f t="shared" si="67"/>
        <v>251.08333333333331</v>
      </c>
      <c r="Y79" s="26">
        <f>X79+ME</f>
        <v>591.1833333333334</v>
      </c>
      <c r="Z79" s="26">
        <f t="shared" si="68"/>
        <v>231.1833333333334</v>
      </c>
      <c r="AA79" s="29">
        <f t="shared" si="69"/>
        <v>231.1833333333334</v>
      </c>
      <c r="AB79" s="19">
        <f t="shared" si="65"/>
        <v>21</v>
      </c>
      <c r="AC79">
        <f t="shared" si="40"/>
        <v>8</v>
      </c>
      <c r="AD79" t="str">
        <f t="shared" si="66"/>
        <v>SC</v>
      </c>
      <c r="AE79">
        <f t="shared" si="41"/>
        <v>11.000000000003638</v>
      </c>
      <c r="AF79" s="19"/>
    </row>
    <row r="80" spans="2:32" ht="12.75">
      <c r="B80" s="19">
        <v>9</v>
      </c>
      <c r="C80" s="7" t="s">
        <v>143</v>
      </c>
      <c r="D80" s="7" t="s">
        <v>6</v>
      </c>
      <c r="E80" s="7" t="s">
        <v>10</v>
      </c>
      <c r="F80" s="7" t="s">
        <v>12</v>
      </c>
      <c r="G80" s="9" t="s">
        <v>14</v>
      </c>
      <c r="H80" s="7" t="str">
        <f t="shared" si="63"/>
        <v>1SA1</v>
      </c>
      <c r="I80" s="20" t="str">
        <f>CONCATENATE(TEXT(O80,0),P80,TEXT(Q80,0))</f>
        <v>28CP59</v>
      </c>
      <c r="K80">
        <f t="shared" si="33"/>
        <v>1</v>
      </c>
      <c r="L80" t="str">
        <f t="shared" si="34"/>
        <v>SA</v>
      </c>
      <c r="M80">
        <f t="shared" si="35"/>
        <v>0.9999999999990905</v>
      </c>
      <c r="O80">
        <f t="shared" si="36"/>
        <v>28</v>
      </c>
      <c r="P80" t="str">
        <f t="shared" si="64"/>
        <v>CP</v>
      </c>
      <c r="Q80">
        <f t="shared" si="37"/>
        <v>59.00000000000091</v>
      </c>
      <c r="S80" s="29">
        <f>JU-SUN</f>
        <v>28.73333333333335</v>
      </c>
      <c r="T80" s="26">
        <f t="shared" si="38"/>
        <v>28.73333333333335</v>
      </c>
      <c r="U80" s="26">
        <f>T80+ASC</f>
        <v>298.48333333333335</v>
      </c>
      <c r="V80" s="26">
        <f>IF(U80&gt;360,U80-360,U80)</f>
        <v>298.48333333333335</v>
      </c>
      <c r="W80" s="29">
        <f>SUN-JU</f>
        <v>-28.73333333333335</v>
      </c>
      <c r="X80" s="26">
        <f t="shared" si="67"/>
        <v>331.26666666666665</v>
      </c>
      <c r="Y80" s="26">
        <f>X80+ASC</f>
        <v>601.0166666666667</v>
      </c>
      <c r="Z80" s="26">
        <f t="shared" si="68"/>
        <v>241.01666666666665</v>
      </c>
      <c r="AA80" s="29">
        <f t="shared" si="69"/>
        <v>241.01666666666665</v>
      </c>
      <c r="AB80" s="19">
        <f t="shared" si="65"/>
        <v>1</v>
      </c>
      <c r="AC80">
        <f t="shared" si="40"/>
        <v>9</v>
      </c>
      <c r="AD80" t="str">
        <f t="shared" si="66"/>
        <v>SA</v>
      </c>
      <c r="AE80">
        <f t="shared" si="41"/>
        <v>0.9999999999990905</v>
      </c>
      <c r="AF80" s="19"/>
    </row>
    <row r="81" spans="1:32" ht="12.75">
      <c r="A81" s="72" t="s">
        <v>1195</v>
      </c>
      <c r="B81" s="47">
        <v>9</v>
      </c>
      <c r="C81" s="52" t="s">
        <v>1031</v>
      </c>
      <c r="D81" s="48" t="s">
        <v>50</v>
      </c>
      <c r="E81" s="48" t="s">
        <v>8</v>
      </c>
      <c r="F81" s="48" t="s">
        <v>12</v>
      </c>
      <c r="G81" s="9" t="s">
        <v>14</v>
      </c>
      <c r="H81" s="7" t="str">
        <f t="shared" si="63"/>
        <v>14AQ40</v>
      </c>
      <c r="I81" s="20" t="str">
        <f>CONCATENATE(TEXT(O81,0),P81,TEXT(Q81,0))</f>
        <v>15SC20</v>
      </c>
      <c r="K81">
        <f>AB81</f>
        <v>14</v>
      </c>
      <c r="L81" t="str">
        <f>AD81</f>
        <v>AQ</v>
      </c>
      <c r="M81">
        <f>AE81</f>
        <v>40.00000000000114</v>
      </c>
      <c r="O81">
        <f>29-K81</f>
        <v>15</v>
      </c>
      <c r="P81" t="str">
        <f t="shared" si="64"/>
        <v>SC</v>
      </c>
      <c r="Q81">
        <f>60-M81</f>
        <v>19.999999999998863</v>
      </c>
      <c r="S81" s="29">
        <f>MOON-ME</f>
        <v>-44.916666666666686</v>
      </c>
      <c r="T81" s="26">
        <f>IF(S81&lt;0,S81+360,S81)</f>
        <v>315.0833333333333</v>
      </c>
      <c r="U81" s="26">
        <f>T81+ASC</f>
        <v>584.8333333333333</v>
      </c>
      <c r="V81" s="26">
        <f>IF(U81&gt;360,U81-360,U81)</f>
        <v>224.83333333333326</v>
      </c>
      <c r="W81" s="29">
        <f>ME-MOON</f>
        <v>44.916666666666686</v>
      </c>
      <c r="X81" s="26">
        <f t="shared" si="67"/>
        <v>44.916666666666686</v>
      </c>
      <c r="Y81" s="26">
        <f>X81+ASC</f>
        <v>314.6666666666667</v>
      </c>
      <c r="Z81" s="26">
        <f t="shared" si="68"/>
        <v>314.6666666666667</v>
      </c>
      <c r="AA81" s="29">
        <f t="shared" si="69"/>
        <v>314.6666666666667</v>
      </c>
      <c r="AB81" s="19">
        <f t="shared" si="65"/>
        <v>14</v>
      </c>
      <c r="AC81">
        <f>TRUNC(AA81/30)+1</f>
        <v>11</v>
      </c>
      <c r="AD81" t="str">
        <f t="shared" si="66"/>
        <v>AQ</v>
      </c>
      <c r="AE81">
        <f>(AA81-TRUNC(AA81))*60</f>
        <v>40.00000000000114</v>
      </c>
      <c r="AF81" s="19"/>
    </row>
    <row r="82" spans="2:32" ht="4.5" customHeight="1">
      <c r="B82" s="19"/>
      <c r="C82" s="7"/>
      <c r="D82" s="7"/>
      <c r="E82" s="7"/>
      <c r="F82" s="7"/>
      <c r="G82" s="9"/>
      <c r="H82" s="7"/>
      <c r="I82" s="20"/>
      <c r="S82" s="29"/>
      <c r="T82" s="26"/>
      <c r="U82" s="26"/>
      <c r="V82" s="26"/>
      <c r="W82" s="29"/>
      <c r="X82" s="26"/>
      <c r="Y82" s="26"/>
      <c r="Z82" s="26"/>
      <c r="AA82" s="29"/>
      <c r="AB82" s="19"/>
      <c r="AF82" s="19"/>
    </row>
    <row r="83" spans="1:32" s="2" customFormat="1" ht="12.75">
      <c r="A83" s="72" t="s">
        <v>1196</v>
      </c>
      <c r="B83" s="53">
        <v>10</v>
      </c>
      <c r="C83" s="45" t="s">
        <v>144</v>
      </c>
      <c r="D83" s="45" t="s">
        <v>641</v>
      </c>
      <c r="E83" s="45" t="s">
        <v>492</v>
      </c>
      <c r="F83" s="45" t="s">
        <v>12</v>
      </c>
      <c r="G83" s="51" t="s">
        <v>13</v>
      </c>
      <c r="H83" s="44" t="str">
        <f aca="true" t="shared" si="70" ref="H83:H97">CONCATENATE(TEXT(K83,0),L83,TEXT(M83,0))</f>
        <v>7AR34</v>
      </c>
      <c r="I83" s="46" t="str">
        <f aca="true" t="shared" si="71" ref="I83:I97">CONCATENATE(TEXT(O83,0),P83,TEXT(Q83,0))</f>
        <v>22VI26</v>
      </c>
      <c r="K83" s="2">
        <f>AB83</f>
        <v>7</v>
      </c>
      <c r="L83" s="2" t="str">
        <f>AD83</f>
        <v>AR</v>
      </c>
      <c r="M83" s="2">
        <f>AE83</f>
        <v>33.99999999999977</v>
      </c>
      <c r="O83" s="2">
        <f>29-K83</f>
        <v>22</v>
      </c>
      <c r="P83" s="2" t="str">
        <f aca="true" t="shared" si="72" ref="P83:P97">VLOOKUP(AC83,SIGNS,4)</f>
        <v>VI</v>
      </c>
      <c r="Q83" s="2">
        <f>60-M83</f>
        <v>26.000000000000227</v>
      </c>
      <c r="S83" s="30">
        <f>DEGEXALT-LUMTIME</f>
        <v>-262.18333333333334</v>
      </c>
      <c r="T83" s="27">
        <f t="shared" si="38"/>
        <v>97.81666666666666</v>
      </c>
      <c r="U83" s="26">
        <f aca="true" t="shared" si="73" ref="U83:U89">T83+ASC</f>
        <v>367.56666666666666</v>
      </c>
      <c r="V83" s="26">
        <f aca="true" t="shared" si="74" ref="V83:V97">IF(U83&gt;360,U83-360,U83)</f>
        <v>7.566666666666663</v>
      </c>
      <c r="W83" s="30"/>
      <c r="X83" s="27"/>
      <c r="Y83" s="26"/>
      <c r="Z83" s="26"/>
      <c r="AA83" s="29">
        <f>V83</f>
        <v>7.566666666666663</v>
      </c>
      <c r="AB83" s="32">
        <f aca="true" t="shared" si="75" ref="AB83:AB97">TRUNC(AA83)-VLOOKUP(AC83,SIGNS,3)</f>
        <v>7</v>
      </c>
      <c r="AC83" s="2">
        <f>TRUNC(AA83/30)+1</f>
        <v>1</v>
      </c>
      <c r="AD83" s="2" t="str">
        <f aca="true" t="shared" si="76" ref="AD83:AD97">VLOOKUP(AC83,SIGNS,2)</f>
        <v>AR</v>
      </c>
      <c r="AE83" s="2">
        <f>(AA83-TRUNC(AA83))*60</f>
        <v>33.99999999999977</v>
      </c>
      <c r="AF83" s="32"/>
    </row>
    <row r="84" spans="1:32" ht="12.75">
      <c r="A84" s="72" t="s">
        <v>1197</v>
      </c>
      <c r="B84" s="19">
        <v>10</v>
      </c>
      <c r="C84" s="9" t="s">
        <v>1060</v>
      </c>
      <c r="D84" s="7" t="s">
        <v>9</v>
      </c>
      <c r="E84" s="7" t="s">
        <v>8</v>
      </c>
      <c r="F84" s="7" t="s">
        <v>12</v>
      </c>
      <c r="G84" s="9" t="s">
        <v>14</v>
      </c>
      <c r="H84" s="7" t="str">
        <f t="shared" si="70"/>
        <v>0LI2</v>
      </c>
      <c r="I84" s="20" t="str">
        <f t="shared" si="71"/>
        <v>29PI58</v>
      </c>
      <c r="K84">
        <f t="shared" si="33"/>
        <v>0</v>
      </c>
      <c r="L84" t="str">
        <f t="shared" si="34"/>
        <v>LI</v>
      </c>
      <c r="M84">
        <f t="shared" si="35"/>
        <v>1.999999999998181</v>
      </c>
      <c r="O84">
        <f t="shared" si="36"/>
        <v>29</v>
      </c>
      <c r="P84" t="str">
        <f t="shared" si="72"/>
        <v>PI</v>
      </c>
      <c r="Q84">
        <f t="shared" si="37"/>
        <v>58.00000000000182</v>
      </c>
      <c r="S84" s="29">
        <f>MOON-MA</f>
        <v>89.71666666666667</v>
      </c>
      <c r="T84" s="26">
        <f t="shared" si="38"/>
        <v>89.71666666666667</v>
      </c>
      <c r="U84" s="26">
        <f t="shared" si="73"/>
        <v>359.4666666666667</v>
      </c>
      <c r="V84" s="26">
        <f t="shared" si="74"/>
        <v>359.4666666666667</v>
      </c>
      <c r="W84" s="29">
        <f>MA-MOON</f>
        <v>-89.71666666666667</v>
      </c>
      <c r="X84" s="26">
        <f>IF(W84&lt;0,W84+360,W84)</f>
        <v>270.2833333333333</v>
      </c>
      <c r="Y84" s="26">
        <f>X84+ASC</f>
        <v>540.0333333333333</v>
      </c>
      <c r="Z84" s="26">
        <f>IF(Y84&gt;360,Y84-360,Y84)</f>
        <v>180.0333333333333</v>
      </c>
      <c r="AA84" s="29">
        <f>IF(SECT="D",V84,Z84)</f>
        <v>180.0333333333333</v>
      </c>
      <c r="AB84" s="19">
        <f t="shared" si="75"/>
        <v>0</v>
      </c>
      <c r="AC84">
        <f t="shared" si="40"/>
        <v>7</v>
      </c>
      <c r="AD84" t="str">
        <f t="shared" si="76"/>
        <v>LI</v>
      </c>
      <c r="AE84">
        <f t="shared" si="41"/>
        <v>1.999999999998181</v>
      </c>
      <c r="AF84" s="19"/>
    </row>
    <row r="85" spans="1:32" ht="12.75">
      <c r="A85" s="72" t="s">
        <v>1198</v>
      </c>
      <c r="B85" s="19">
        <v>10</v>
      </c>
      <c r="C85" s="9" t="s">
        <v>1064</v>
      </c>
      <c r="D85" s="7" t="s">
        <v>6</v>
      </c>
      <c r="E85" s="7" t="s">
        <v>5</v>
      </c>
      <c r="F85" s="7" t="s">
        <v>12</v>
      </c>
      <c r="G85" s="9" t="s">
        <v>14</v>
      </c>
      <c r="H85" s="7" t="str">
        <f t="shared" si="70"/>
        <v>19PI56</v>
      </c>
      <c r="I85" s="20" t="str">
        <f t="shared" si="71"/>
        <v>10LI4</v>
      </c>
      <c r="K85">
        <f aca="true" t="shared" si="77" ref="K85:K97">AB85</f>
        <v>19</v>
      </c>
      <c r="L85" t="str">
        <f aca="true" t="shared" si="78" ref="L85:L97">AD85</f>
        <v>PI</v>
      </c>
      <c r="M85">
        <f aca="true" t="shared" si="79" ref="M85:M97">AE85</f>
        <v>56.00000000000023</v>
      </c>
      <c r="O85">
        <f aca="true" t="shared" si="80" ref="O85:O97">29-K85</f>
        <v>10</v>
      </c>
      <c r="P85" t="str">
        <f t="shared" si="72"/>
        <v>LI</v>
      </c>
      <c r="Q85">
        <f aca="true" t="shared" si="81" ref="Q85:Q97">60-M85</f>
        <v>3.9999999999997726</v>
      </c>
      <c r="S85" s="29">
        <f>SA-SUN</f>
        <v>-80.18333333333334</v>
      </c>
      <c r="T85" s="26">
        <f aca="true" t="shared" si="82" ref="T85:T97">IF(S85&lt;0,S85+360,S85)</f>
        <v>279.81666666666666</v>
      </c>
      <c r="U85" s="26">
        <f t="shared" si="73"/>
        <v>549.5666666666666</v>
      </c>
      <c r="V85" s="26">
        <f t="shared" si="74"/>
        <v>189.5666666666666</v>
      </c>
      <c r="W85" s="29">
        <f>SUN-SA</f>
        <v>80.18333333333334</v>
      </c>
      <c r="X85" s="26">
        <f>IF(W85&lt;0,W85+360,W85)</f>
        <v>80.18333333333334</v>
      </c>
      <c r="Y85" s="26">
        <f>X85+ASC</f>
        <v>349.93333333333334</v>
      </c>
      <c r="Z85" s="26">
        <f>IF(Y85&gt;360,Y85-360,Y85)</f>
        <v>349.93333333333334</v>
      </c>
      <c r="AA85" s="29">
        <f>IF(SECT="D",V85,Z85)</f>
        <v>349.93333333333334</v>
      </c>
      <c r="AB85" s="19">
        <f t="shared" si="75"/>
        <v>19</v>
      </c>
      <c r="AC85">
        <f aca="true" t="shared" si="83" ref="AC85:AC97">TRUNC(AA85/30)+1</f>
        <v>12</v>
      </c>
      <c r="AD85" t="str">
        <f t="shared" si="76"/>
        <v>PI</v>
      </c>
      <c r="AE85">
        <f aca="true" t="shared" si="84" ref="AE85:AE97">(AA85-TRUNC(AA85))*60</f>
        <v>56.00000000000023</v>
      </c>
      <c r="AF85" s="19"/>
    </row>
    <row r="86" spans="1:32" ht="12.75">
      <c r="A86" s="72" t="s">
        <v>1199</v>
      </c>
      <c r="B86" s="19">
        <v>10</v>
      </c>
      <c r="C86" s="9" t="s">
        <v>1067</v>
      </c>
      <c r="D86" s="7" t="s">
        <v>5</v>
      </c>
      <c r="E86" s="7" t="s">
        <v>8</v>
      </c>
      <c r="F86" s="7" t="s">
        <v>12</v>
      </c>
      <c r="G86" s="36" t="s">
        <v>13</v>
      </c>
      <c r="H86" s="7" t="str">
        <f t="shared" si="70"/>
        <v>21AQ48</v>
      </c>
      <c r="I86" s="20" t="str">
        <f t="shared" si="71"/>
        <v>8SC12</v>
      </c>
      <c r="K86">
        <f t="shared" si="77"/>
        <v>21</v>
      </c>
      <c r="L86" t="str">
        <f t="shared" si="78"/>
        <v>AQ</v>
      </c>
      <c r="M86">
        <f t="shared" si="79"/>
        <v>48.00000000000068</v>
      </c>
      <c r="O86">
        <f t="shared" si="80"/>
        <v>8</v>
      </c>
      <c r="P86" t="str">
        <f t="shared" si="72"/>
        <v>SC</v>
      </c>
      <c r="Q86">
        <f t="shared" si="81"/>
        <v>11.999999999999318</v>
      </c>
      <c r="S86" s="29">
        <f>MOON-SA</f>
        <v>52.05000000000001</v>
      </c>
      <c r="T86" s="26">
        <f t="shared" si="82"/>
        <v>52.05000000000001</v>
      </c>
      <c r="U86" s="26">
        <f t="shared" si="73"/>
        <v>321.8</v>
      </c>
      <c r="V86" s="26">
        <f t="shared" si="74"/>
        <v>321.8</v>
      </c>
      <c r="W86" s="29"/>
      <c r="X86" s="26"/>
      <c r="Y86" s="26"/>
      <c r="Z86" s="26"/>
      <c r="AA86" s="29">
        <f>V86</f>
        <v>321.8</v>
      </c>
      <c r="AB86" s="19">
        <f t="shared" si="75"/>
        <v>21</v>
      </c>
      <c r="AC86">
        <f t="shared" si="83"/>
        <v>11</v>
      </c>
      <c r="AD86" t="str">
        <f t="shared" si="76"/>
        <v>AQ</v>
      </c>
      <c r="AE86">
        <f t="shared" si="84"/>
        <v>48.00000000000068</v>
      </c>
      <c r="AF86" s="19"/>
    </row>
    <row r="87" spans="1:32" ht="12.75">
      <c r="A87" s="72" t="s">
        <v>1200</v>
      </c>
      <c r="B87" s="19">
        <v>10</v>
      </c>
      <c r="C87" s="7" t="s">
        <v>430</v>
      </c>
      <c r="D87" s="7" t="s">
        <v>7</v>
      </c>
      <c r="E87" s="7" t="s">
        <v>8</v>
      </c>
      <c r="F87" s="7" t="s">
        <v>12</v>
      </c>
      <c r="G87" s="9" t="s">
        <v>14</v>
      </c>
      <c r="H87" s="7" t="str">
        <f t="shared" si="70"/>
        <v>11PI52</v>
      </c>
      <c r="I87" s="20" t="str">
        <f t="shared" si="71"/>
        <v>18LI8</v>
      </c>
      <c r="K87">
        <f t="shared" si="77"/>
        <v>11</v>
      </c>
      <c r="L87" t="str">
        <f t="shared" si="78"/>
        <v>PI</v>
      </c>
      <c r="M87">
        <f t="shared" si="79"/>
        <v>52.000000000000455</v>
      </c>
      <c r="O87">
        <f t="shared" si="80"/>
        <v>18</v>
      </c>
      <c r="P87" t="str">
        <f t="shared" si="72"/>
        <v>LI</v>
      </c>
      <c r="Q87">
        <f t="shared" si="81"/>
        <v>7.999999999999545</v>
      </c>
      <c r="S87" s="29">
        <f>MOON-VE</f>
        <v>287.8833333333333</v>
      </c>
      <c r="T87" s="26">
        <f t="shared" si="82"/>
        <v>287.8833333333333</v>
      </c>
      <c r="U87" s="26">
        <f t="shared" si="73"/>
        <v>557.6333333333333</v>
      </c>
      <c r="V87" s="26">
        <f t="shared" si="74"/>
        <v>197.63333333333333</v>
      </c>
      <c r="W87" s="29">
        <f>VE-MOON</f>
        <v>-287.8833333333333</v>
      </c>
      <c r="X87" s="26">
        <f>IF(W87&lt;0,W87+360,W87)</f>
        <v>72.11666666666667</v>
      </c>
      <c r="Y87" s="26">
        <f>X87+ASC</f>
        <v>341.8666666666667</v>
      </c>
      <c r="Z87" s="26">
        <f>IF(Y87&gt;360,Y87-360,Y87)</f>
        <v>341.8666666666667</v>
      </c>
      <c r="AA87" s="29">
        <f>IF(SECT="D",V87,Z87)</f>
        <v>341.8666666666667</v>
      </c>
      <c r="AB87" s="19">
        <f t="shared" si="75"/>
        <v>11</v>
      </c>
      <c r="AC87">
        <f t="shared" si="83"/>
        <v>12</v>
      </c>
      <c r="AD87" t="str">
        <f t="shared" si="76"/>
        <v>PI</v>
      </c>
      <c r="AE87">
        <f t="shared" si="84"/>
        <v>52.000000000000455</v>
      </c>
      <c r="AF87" s="19"/>
    </row>
    <row r="88" spans="2:32" ht="12.75">
      <c r="B88" s="19">
        <v>10</v>
      </c>
      <c r="C88" s="7" t="s">
        <v>151</v>
      </c>
      <c r="D88" s="7" t="s">
        <v>7</v>
      </c>
      <c r="E88" s="7" t="s">
        <v>5</v>
      </c>
      <c r="F88" s="7" t="s">
        <v>12</v>
      </c>
      <c r="G88" s="9" t="s">
        <v>14</v>
      </c>
      <c r="H88" s="7" t="str">
        <f t="shared" si="70"/>
        <v>3TA55</v>
      </c>
      <c r="I88" s="20" t="str">
        <f t="shared" si="71"/>
        <v>26LE5</v>
      </c>
      <c r="K88">
        <f t="shared" si="77"/>
        <v>3</v>
      </c>
      <c r="L88" t="str">
        <f t="shared" si="78"/>
        <v>TA</v>
      </c>
      <c r="M88">
        <f t="shared" si="79"/>
        <v>55.00000000000114</v>
      </c>
      <c r="O88">
        <f t="shared" si="80"/>
        <v>26</v>
      </c>
      <c r="P88" t="str">
        <f t="shared" si="72"/>
        <v>LE</v>
      </c>
      <c r="Q88">
        <f t="shared" si="81"/>
        <v>4.999999999998863</v>
      </c>
      <c r="S88" s="29">
        <f>SA-VE</f>
        <v>235.83333333333331</v>
      </c>
      <c r="T88" s="26">
        <f t="shared" si="82"/>
        <v>235.83333333333331</v>
      </c>
      <c r="U88" s="26">
        <f t="shared" si="73"/>
        <v>505.5833333333333</v>
      </c>
      <c r="V88" s="26">
        <f t="shared" si="74"/>
        <v>145.58333333333331</v>
      </c>
      <c r="W88" s="29">
        <f>VE-SA</f>
        <v>-235.83333333333331</v>
      </c>
      <c r="X88" s="26">
        <f>IF(W88&lt;0,W88+360,W88)</f>
        <v>124.16666666666669</v>
      </c>
      <c r="Y88" s="26">
        <f>X88+ASC</f>
        <v>393.9166666666667</v>
      </c>
      <c r="Z88" s="26">
        <f>IF(Y88&gt;360,Y88-360,Y88)</f>
        <v>33.916666666666686</v>
      </c>
      <c r="AA88" s="29">
        <f>IF(SECT="D",V88,Z88)</f>
        <v>33.916666666666686</v>
      </c>
      <c r="AB88" s="19">
        <f t="shared" si="75"/>
        <v>3</v>
      </c>
      <c r="AC88">
        <f t="shared" si="83"/>
        <v>2</v>
      </c>
      <c r="AD88" t="str">
        <f t="shared" si="76"/>
        <v>TA</v>
      </c>
      <c r="AE88">
        <f t="shared" si="84"/>
        <v>55.00000000000114</v>
      </c>
      <c r="AF88" s="19"/>
    </row>
    <row r="89" spans="1:32" ht="12.75">
      <c r="A89" s="72" t="s">
        <v>1201</v>
      </c>
      <c r="B89" s="19">
        <v>10</v>
      </c>
      <c r="C89" s="9" t="s">
        <v>1078</v>
      </c>
      <c r="D89" s="7" t="s">
        <v>6</v>
      </c>
      <c r="E89" s="7" t="s">
        <v>262</v>
      </c>
      <c r="F89" s="7" t="s">
        <v>12</v>
      </c>
      <c r="G89" s="9" t="s">
        <v>14</v>
      </c>
      <c r="H89" s="7" t="str">
        <f t="shared" si="70"/>
        <v>2TA14</v>
      </c>
      <c r="I89" s="20" t="str">
        <f t="shared" si="71"/>
        <v>27LE46</v>
      </c>
      <c r="K89">
        <f t="shared" si="77"/>
        <v>2</v>
      </c>
      <c r="L89" t="str">
        <f t="shared" si="78"/>
        <v>TA</v>
      </c>
      <c r="M89">
        <f t="shared" si="79"/>
        <v>14.00000000000091</v>
      </c>
      <c r="O89">
        <f t="shared" si="80"/>
        <v>27</v>
      </c>
      <c r="P89" t="str">
        <f t="shared" si="72"/>
        <v>LE</v>
      </c>
      <c r="Q89">
        <f t="shared" si="81"/>
        <v>45.99999999999909</v>
      </c>
      <c r="S89" s="29">
        <f>MC-SUN</f>
        <v>-122.48333333333332</v>
      </c>
      <c r="T89" s="26">
        <f t="shared" si="82"/>
        <v>237.51666666666668</v>
      </c>
      <c r="U89" s="26">
        <f t="shared" si="73"/>
        <v>507.26666666666665</v>
      </c>
      <c r="V89" s="26">
        <f t="shared" si="74"/>
        <v>147.26666666666665</v>
      </c>
      <c r="W89" s="29">
        <f>SUN-MC</f>
        <v>122.48333333333332</v>
      </c>
      <c r="X89" s="26">
        <f>IF(W89&lt;0,W89+360,W89)</f>
        <v>122.48333333333332</v>
      </c>
      <c r="Y89" s="26">
        <f>X89+ASC</f>
        <v>392.23333333333335</v>
      </c>
      <c r="Z89" s="26">
        <f>IF(Y89&gt;360,Y89-360,Y89)</f>
        <v>32.23333333333335</v>
      </c>
      <c r="AA89" s="29">
        <f>IF(SECT="D",V89,Z89)</f>
        <v>32.23333333333335</v>
      </c>
      <c r="AB89" s="19">
        <f t="shared" si="75"/>
        <v>2</v>
      </c>
      <c r="AC89">
        <f t="shared" si="83"/>
        <v>2</v>
      </c>
      <c r="AD89" t="str">
        <f t="shared" si="76"/>
        <v>TA</v>
      </c>
      <c r="AE89">
        <f t="shared" si="84"/>
        <v>14.00000000000091</v>
      </c>
      <c r="AF89" s="19"/>
    </row>
    <row r="90" spans="1:32" s="2" customFormat="1" ht="12.75">
      <c r="A90" s="72" t="s">
        <v>1202</v>
      </c>
      <c r="B90" s="32">
        <v>10</v>
      </c>
      <c r="C90" s="9" t="s">
        <v>1077</v>
      </c>
      <c r="D90" s="9" t="s">
        <v>6</v>
      </c>
      <c r="E90" s="9" t="s">
        <v>262</v>
      </c>
      <c r="F90" s="9" t="s">
        <v>10</v>
      </c>
      <c r="G90" s="36" t="s">
        <v>13</v>
      </c>
      <c r="H90" s="7" t="str">
        <f t="shared" si="70"/>
        <v>19SC34</v>
      </c>
      <c r="I90" s="20" t="str">
        <f t="shared" si="71"/>
        <v>10AQ26</v>
      </c>
      <c r="K90" s="2">
        <f t="shared" si="77"/>
        <v>19</v>
      </c>
      <c r="L90" s="2" t="str">
        <f t="shared" si="78"/>
        <v>SC</v>
      </c>
      <c r="M90" s="2">
        <f t="shared" si="79"/>
        <v>34.00000000000318</v>
      </c>
      <c r="O90" s="2">
        <f t="shared" si="80"/>
        <v>10</v>
      </c>
      <c r="P90" s="2" t="str">
        <f t="shared" si="72"/>
        <v>AQ</v>
      </c>
      <c r="Q90" s="2">
        <f t="shared" si="81"/>
        <v>25.999999999996817</v>
      </c>
      <c r="S90" s="30">
        <f>MC-SUN</f>
        <v>-122.48333333333332</v>
      </c>
      <c r="T90" s="27">
        <f t="shared" si="82"/>
        <v>237.51666666666668</v>
      </c>
      <c r="U90" s="26">
        <f>T90+JU</f>
        <v>589.5666666666667</v>
      </c>
      <c r="V90" s="26">
        <f t="shared" si="74"/>
        <v>229.56666666666672</v>
      </c>
      <c r="W90" s="30"/>
      <c r="X90" s="27"/>
      <c r="Y90" s="26"/>
      <c r="Z90" s="26"/>
      <c r="AA90" s="29">
        <f>V90</f>
        <v>229.56666666666672</v>
      </c>
      <c r="AB90" s="32">
        <f t="shared" si="75"/>
        <v>19</v>
      </c>
      <c r="AC90" s="2">
        <f t="shared" si="83"/>
        <v>8</v>
      </c>
      <c r="AD90" s="2" t="str">
        <f t="shared" si="76"/>
        <v>SC</v>
      </c>
      <c r="AE90" s="2">
        <f t="shared" si="84"/>
        <v>34.00000000000318</v>
      </c>
      <c r="AF90" s="32"/>
    </row>
    <row r="91" spans="2:32" ht="12.75">
      <c r="B91" s="19">
        <v>10</v>
      </c>
      <c r="C91" s="7" t="s">
        <v>118</v>
      </c>
      <c r="D91" s="7" t="s">
        <v>50</v>
      </c>
      <c r="E91" s="7" t="s">
        <v>9</v>
      </c>
      <c r="F91" s="7" t="s">
        <v>12</v>
      </c>
      <c r="G91" s="9" t="s">
        <v>14</v>
      </c>
      <c r="H91" s="7" t="str">
        <f t="shared" si="70"/>
        <v>14TA23</v>
      </c>
      <c r="I91" s="20" t="str">
        <f t="shared" si="71"/>
        <v>15LE37</v>
      </c>
      <c r="K91">
        <f t="shared" si="77"/>
        <v>14</v>
      </c>
      <c r="L91" t="str">
        <f t="shared" si="78"/>
        <v>TA</v>
      </c>
      <c r="M91">
        <f t="shared" si="79"/>
        <v>22.999999999999545</v>
      </c>
      <c r="O91">
        <f t="shared" si="80"/>
        <v>15</v>
      </c>
      <c r="P91" t="str">
        <f t="shared" si="72"/>
        <v>LE</v>
      </c>
      <c r="Q91">
        <f t="shared" si="81"/>
        <v>37.000000000000455</v>
      </c>
      <c r="S91" s="29">
        <f>MA-ME</f>
        <v>-134.63333333333335</v>
      </c>
      <c r="T91" s="26">
        <f t="shared" si="82"/>
        <v>225.36666666666665</v>
      </c>
      <c r="U91" s="26">
        <f aca="true" t="shared" si="85" ref="U91:U97">T91+ASC</f>
        <v>495.1166666666667</v>
      </c>
      <c r="V91" s="26">
        <f t="shared" si="74"/>
        <v>135.11666666666667</v>
      </c>
      <c r="W91" s="29">
        <f>ME-MA</f>
        <v>134.63333333333335</v>
      </c>
      <c r="X91" s="26">
        <f>IF(W91&lt;0,W91+360,W91)</f>
        <v>134.63333333333335</v>
      </c>
      <c r="Y91" s="26">
        <f>X91+ASC</f>
        <v>404.3833333333333</v>
      </c>
      <c r="Z91" s="26">
        <f>IF(Y91&gt;360,Y91-360,Y91)</f>
        <v>44.383333333333326</v>
      </c>
      <c r="AA91" s="29">
        <f>IF(SECT="D",V91,Z91)</f>
        <v>44.383333333333326</v>
      </c>
      <c r="AB91" s="19">
        <f t="shared" si="75"/>
        <v>14</v>
      </c>
      <c r="AC91">
        <f t="shared" si="83"/>
        <v>2</v>
      </c>
      <c r="AD91" t="str">
        <f t="shared" si="76"/>
        <v>TA</v>
      </c>
      <c r="AE91">
        <f t="shared" si="84"/>
        <v>22.999999999999545</v>
      </c>
      <c r="AF91" s="19"/>
    </row>
    <row r="92" spans="2:32" ht="12.75">
      <c r="B92" s="19">
        <v>10</v>
      </c>
      <c r="C92" s="7" t="s">
        <v>145</v>
      </c>
      <c r="D92" s="7" t="s">
        <v>5</v>
      </c>
      <c r="E92" s="9" t="s">
        <v>796</v>
      </c>
      <c r="F92" s="7" t="s">
        <v>12</v>
      </c>
      <c r="G92" s="9" t="s">
        <v>14</v>
      </c>
      <c r="H92" s="7" t="str">
        <f t="shared" si="70"/>
        <v>5SC0</v>
      </c>
      <c r="I92" s="20" t="str">
        <f t="shared" si="71"/>
        <v>24AQ60</v>
      </c>
      <c r="K92">
        <f t="shared" si="77"/>
        <v>5</v>
      </c>
      <c r="L92" t="str">
        <f t="shared" si="78"/>
        <v>SC</v>
      </c>
      <c r="M92">
        <f t="shared" si="79"/>
        <v>0</v>
      </c>
      <c r="O92">
        <f t="shared" si="80"/>
        <v>24</v>
      </c>
      <c r="P92" t="str">
        <f t="shared" si="72"/>
        <v>AQ</v>
      </c>
      <c r="Q92">
        <f t="shared" si="81"/>
        <v>60</v>
      </c>
      <c r="S92" s="29">
        <f>POF-SA</f>
        <v>54.75</v>
      </c>
      <c r="T92" s="26">
        <f t="shared" si="82"/>
        <v>54.75</v>
      </c>
      <c r="U92" s="26">
        <f t="shared" si="85"/>
        <v>324.5</v>
      </c>
      <c r="V92" s="26">
        <f t="shared" si="74"/>
        <v>324.5</v>
      </c>
      <c r="W92" s="29">
        <f>SA-POF</f>
        <v>-54.75</v>
      </c>
      <c r="X92" s="26">
        <f>IF(W92&lt;0,W92+360,W92)</f>
        <v>305.25</v>
      </c>
      <c r="Y92" s="26">
        <f>X92+ASC</f>
        <v>575</v>
      </c>
      <c r="Z92" s="26">
        <f>IF(Y92&gt;360,Y92-360,Y92)</f>
        <v>215</v>
      </c>
      <c r="AA92" s="29">
        <f>IF(SECT="D",V92,Z92)</f>
        <v>215</v>
      </c>
      <c r="AB92" s="19">
        <f t="shared" si="75"/>
        <v>5</v>
      </c>
      <c r="AC92">
        <f t="shared" si="83"/>
        <v>8</v>
      </c>
      <c r="AD92" t="str">
        <f t="shared" si="76"/>
        <v>SC</v>
      </c>
      <c r="AE92">
        <f t="shared" si="84"/>
        <v>0</v>
      </c>
      <c r="AF92" s="19"/>
    </row>
    <row r="93" spans="2:32" ht="12.75">
      <c r="B93" s="19">
        <v>10</v>
      </c>
      <c r="C93" s="7" t="s">
        <v>146</v>
      </c>
      <c r="D93" s="7" t="s">
        <v>50</v>
      </c>
      <c r="E93" s="7" t="s">
        <v>6</v>
      </c>
      <c r="F93" s="7" t="s">
        <v>12</v>
      </c>
      <c r="G93" s="36" t="s">
        <v>13</v>
      </c>
      <c r="H93" s="7" t="str">
        <f t="shared" si="70"/>
        <v>12SA58</v>
      </c>
      <c r="I93" s="20" t="str">
        <f t="shared" si="71"/>
        <v>17CP2</v>
      </c>
      <c r="K93">
        <f t="shared" si="77"/>
        <v>12</v>
      </c>
      <c r="L93" t="str">
        <f t="shared" si="78"/>
        <v>SA</v>
      </c>
      <c r="M93">
        <f t="shared" si="79"/>
        <v>58.00000000000182</v>
      </c>
      <c r="O93">
        <f t="shared" si="80"/>
        <v>17</v>
      </c>
      <c r="P93" t="str">
        <f t="shared" si="72"/>
        <v>CP</v>
      </c>
      <c r="Q93">
        <f t="shared" si="81"/>
        <v>1.999999999998181</v>
      </c>
      <c r="S93" s="29">
        <f>SUN-ME</f>
        <v>-16.78333333333336</v>
      </c>
      <c r="T93" s="26">
        <f t="shared" si="82"/>
        <v>343.21666666666664</v>
      </c>
      <c r="U93" s="26">
        <f t="shared" si="85"/>
        <v>612.9666666666667</v>
      </c>
      <c r="V93" s="26">
        <f t="shared" si="74"/>
        <v>252.9666666666667</v>
      </c>
      <c r="W93" s="29"/>
      <c r="X93" s="26"/>
      <c r="Y93" s="26"/>
      <c r="Z93" s="26"/>
      <c r="AA93" s="29">
        <f>V93</f>
        <v>252.9666666666667</v>
      </c>
      <c r="AB93" s="19">
        <f t="shared" si="75"/>
        <v>12</v>
      </c>
      <c r="AC93">
        <f t="shared" si="83"/>
        <v>9</v>
      </c>
      <c r="AD93" t="str">
        <f t="shared" si="76"/>
        <v>SA</v>
      </c>
      <c r="AE93">
        <f t="shared" si="84"/>
        <v>58.00000000000182</v>
      </c>
      <c r="AF93" s="19"/>
    </row>
    <row r="94" spans="2:32" ht="12.75">
      <c r="B94" s="19">
        <v>10</v>
      </c>
      <c r="C94" s="7" t="s">
        <v>147</v>
      </c>
      <c r="D94" s="7" t="s">
        <v>9</v>
      </c>
      <c r="E94" s="7" t="s">
        <v>5</v>
      </c>
      <c r="F94" s="7" t="s">
        <v>12</v>
      </c>
      <c r="G94" s="9" t="s">
        <v>14</v>
      </c>
      <c r="H94" s="7" t="str">
        <f t="shared" si="70"/>
        <v>22SC5</v>
      </c>
      <c r="I94" s="20" t="str">
        <f t="shared" si="71"/>
        <v>7AQ55</v>
      </c>
      <c r="K94">
        <f t="shared" si="77"/>
        <v>22</v>
      </c>
      <c r="L94" t="str">
        <f t="shared" si="78"/>
        <v>SC</v>
      </c>
      <c r="M94">
        <f t="shared" si="79"/>
        <v>5.000000000002274</v>
      </c>
      <c r="O94">
        <f t="shared" si="80"/>
        <v>7</v>
      </c>
      <c r="P94" t="str">
        <f t="shared" si="72"/>
        <v>AQ</v>
      </c>
      <c r="Q94">
        <f t="shared" si="81"/>
        <v>54.999999999997726</v>
      </c>
      <c r="S94" s="29">
        <f>SA-MA</f>
        <v>37.66666666666666</v>
      </c>
      <c r="T94" s="26">
        <f t="shared" si="82"/>
        <v>37.66666666666666</v>
      </c>
      <c r="U94" s="26">
        <f t="shared" si="85"/>
        <v>307.41666666666663</v>
      </c>
      <c r="V94" s="26">
        <f t="shared" si="74"/>
        <v>307.41666666666663</v>
      </c>
      <c r="W94" s="29">
        <f>MA-SA</f>
        <v>-37.66666666666666</v>
      </c>
      <c r="X94" s="26">
        <f>IF(W94&lt;0,W94+360,W94)</f>
        <v>322.33333333333337</v>
      </c>
      <c r="Y94" s="26">
        <f>X94+ASC</f>
        <v>592.0833333333334</v>
      </c>
      <c r="Z94" s="26">
        <f>IF(Y94&gt;360,Y94-360,Y94)</f>
        <v>232.08333333333337</v>
      </c>
      <c r="AA94" s="29">
        <f>IF(SECT="D",V94,Z94)</f>
        <v>232.08333333333337</v>
      </c>
      <c r="AB94" s="19">
        <f t="shared" si="75"/>
        <v>22</v>
      </c>
      <c r="AC94">
        <f t="shared" si="83"/>
        <v>8</v>
      </c>
      <c r="AD94" t="str">
        <f t="shared" si="76"/>
        <v>SC</v>
      </c>
      <c r="AE94">
        <f t="shared" si="84"/>
        <v>5.000000000002274</v>
      </c>
      <c r="AF94" s="19"/>
    </row>
    <row r="95" spans="2:32" ht="12.75">
      <c r="B95" s="19">
        <v>10</v>
      </c>
      <c r="C95" s="7" t="s">
        <v>148</v>
      </c>
      <c r="D95" s="7" t="s">
        <v>50</v>
      </c>
      <c r="E95" s="7" t="s">
        <v>7</v>
      </c>
      <c r="F95" s="7" t="s">
        <v>12</v>
      </c>
      <c r="G95" s="9" t="s">
        <v>14</v>
      </c>
      <c r="H95" s="7" t="str">
        <f t="shared" si="70"/>
        <v>2SA33</v>
      </c>
      <c r="I95" s="20" t="str">
        <f t="shared" si="71"/>
        <v>27CP27</v>
      </c>
      <c r="K95">
        <f t="shared" si="77"/>
        <v>2</v>
      </c>
      <c r="L95" t="str">
        <f t="shared" si="78"/>
        <v>SA</v>
      </c>
      <c r="M95">
        <f t="shared" si="79"/>
        <v>32.99999999999727</v>
      </c>
      <c r="O95">
        <f t="shared" si="80"/>
        <v>27</v>
      </c>
      <c r="P95" t="str">
        <f t="shared" si="72"/>
        <v>CP</v>
      </c>
      <c r="Q95">
        <f t="shared" si="81"/>
        <v>27.00000000000273</v>
      </c>
      <c r="S95" s="29">
        <f>VE-ME</f>
        <v>-332.8</v>
      </c>
      <c r="T95" s="26">
        <f t="shared" si="82"/>
        <v>27.19999999999999</v>
      </c>
      <c r="U95" s="26">
        <f t="shared" si="85"/>
        <v>296.95</v>
      </c>
      <c r="V95" s="26">
        <f t="shared" si="74"/>
        <v>296.95</v>
      </c>
      <c r="W95" s="29">
        <f>ME-VE</f>
        <v>332.8</v>
      </c>
      <c r="X95" s="26">
        <f>IF(W95&lt;0,W95+360,W95)</f>
        <v>332.8</v>
      </c>
      <c r="Y95" s="26">
        <f>X95+ASC</f>
        <v>602.55</v>
      </c>
      <c r="Z95" s="26">
        <f>IF(Y95&gt;360,Y95-360,Y95)</f>
        <v>242.54999999999995</v>
      </c>
      <c r="AA95" s="29">
        <f>IF(SECT="D",V95,Z95)</f>
        <v>242.54999999999995</v>
      </c>
      <c r="AB95" s="19">
        <f t="shared" si="75"/>
        <v>2</v>
      </c>
      <c r="AC95">
        <f t="shared" si="83"/>
        <v>9</v>
      </c>
      <c r="AD95" t="str">
        <f t="shared" si="76"/>
        <v>SA</v>
      </c>
      <c r="AE95">
        <f t="shared" si="84"/>
        <v>32.99999999999727</v>
      </c>
      <c r="AF95" s="19"/>
    </row>
    <row r="96" spans="2:32" ht="12.75">
      <c r="B96" s="19">
        <v>10</v>
      </c>
      <c r="C96" s="7" t="s">
        <v>149</v>
      </c>
      <c r="D96" s="9" t="s">
        <v>797</v>
      </c>
      <c r="E96" s="9" t="s">
        <v>796</v>
      </c>
      <c r="F96" s="7" t="s">
        <v>12</v>
      </c>
      <c r="G96" s="9" t="s">
        <v>14</v>
      </c>
      <c r="H96" s="7" t="str">
        <f t="shared" si="70"/>
        <v>3SC29</v>
      </c>
      <c r="I96" s="20" t="str">
        <f t="shared" si="71"/>
        <v>26AQ31</v>
      </c>
      <c r="K96">
        <f t="shared" si="77"/>
        <v>3</v>
      </c>
      <c r="L96" t="str">
        <f t="shared" si="78"/>
        <v>SC</v>
      </c>
      <c r="M96">
        <f t="shared" si="79"/>
        <v>29.00000000000091</v>
      </c>
      <c r="O96">
        <f t="shared" si="80"/>
        <v>26</v>
      </c>
      <c r="P96" t="str">
        <f t="shared" si="72"/>
        <v>AQ</v>
      </c>
      <c r="Q96">
        <f t="shared" si="81"/>
        <v>30.99999999999909</v>
      </c>
      <c r="S96" s="29">
        <f>POF-POS</f>
        <v>56.26666666666665</v>
      </c>
      <c r="T96" s="26">
        <f t="shared" si="82"/>
        <v>56.26666666666665</v>
      </c>
      <c r="U96" s="26">
        <f t="shared" si="85"/>
        <v>326.01666666666665</v>
      </c>
      <c r="V96" s="26">
        <f t="shared" si="74"/>
        <v>326.01666666666665</v>
      </c>
      <c r="W96" s="29">
        <f>POS-POF</f>
        <v>-56.26666666666665</v>
      </c>
      <c r="X96" s="26">
        <f>IF(W96&lt;0,W96+360,W96)</f>
        <v>303.73333333333335</v>
      </c>
      <c r="Y96" s="26">
        <f>X96+ASC</f>
        <v>573.4833333333333</v>
      </c>
      <c r="Z96" s="26">
        <f>IF(Y96&gt;360,Y96-360,Y96)</f>
        <v>213.48333333333335</v>
      </c>
      <c r="AA96" s="29">
        <f>IF(SECT="D",V96,Z96)</f>
        <v>213.48333333333335</v>
      </c>
      <c r="AB96" s="19">
        <f t="shared" si="75"/>
        <v>3</v>
      </c>
      <c r="AC96">
        <f t="shared" si="83"/>
        <v>8</v>
      </c>
      <c r="AD96" t="str">
        <f t="shared" si="76"/>
        <v>SC</v>
      </c>
      <c r="AE96">
        <f t="shared" si="84"/>
        <v>29.00000000000091</v>
      </c>
      <c r="AF96" s="19"/>
    </row>
    <row r="97" spans="2:32" ht="12.75">
      <c r="B97" s="47">
        <v>10</v>
      </c>
      <c r="C97" s="48" t="s">
        <v>150</v>
      </c>
      <c r="D97" s="48" t="s">
        <v>6</v>
      </c>
      <c r="E97" s="48" t="s">
        <v>10</v>
      </c>
      <c r="F97" s="48" t="s">
        <v>12</v>
      </c>
      <c r="G97" s="52" t="s">
        <v>14</v>
      </c>
      <c r="H97" s="48" t="str">
        <f t="shared" si="70"/>
        <v>1SA1</v>
      </c>
      <c r="I97" s="50" t="str">
        <f t="shared" si="71"/>
        <v>28CP59</v>
      </c>
      <c r="K97">
        <f t="shared" si="77"/>
        <v>1</v>
      </c>
      <c r="L97" t="str">
        <f t="shared" si="78"/>
        <v>SA</v>
      </c>
      <c r="M97">
        <f t="shared" si="79"/>
        <v>0.9999999999990905</v>
      </c>
      <c r="O97">
        <f t="shared" si="80"/>
        <v>28</v>
      </c>
      <c r="P97" t="str">
        <f t="shared" si="72"/>
        <v>CP</v>
      </c>
      <c r="Q97">
        <f t="shared" si="81"/>
        <v>59.00000000000091</v>
      </c>
      <c r="S97" s="29">
        <f>JU-SUN</f>
        <v>28.73333333333335</v>
      </c>
      <c r="T97" s="26">
        <f t="shared" si="82"/>
        <v>28.73333333333335</v>
      </c>
      <c r="U97" s="26">
        <f t="shared" si="85"/>
        <v>298.48333333333335</v>
      </c>
      <c r="V97" s="26">
        <f t="shared" si="74"/>
        <v>298.48333333333335</v>
      </c>
      <c r="W97" s="29">
        <f>SUN-JU</f>
        <v>-28.73333333333335</v>
      </c>
      <c r="X97" s="26">
        <f>IF(W97&lt;0,W97+360,W97)</f>
        <v>331.26666666666665</v>
      </c>
      <c r="Y97" s="26">
        <f>X97+ASC</f>
        <v>601.0166666666667</v>
      </c>
      <c r="Z97" s="26">
        <f>IF(Y97&gt;360,Y97-360,Y97)</f>
        <v>241.01666666666665</v>
      </c>
      <c r="AA97" s="29">
        <f>IF(SECT="D",V97,Z97)</f>
        <v>241.01666666666665</v>
      </c>
      <c r="AB97" s="19">
        <f t="shared" si="75"/>
        <v>1</v>
      </c>
      <c r="AC97">
        <f t="shared" si="83"/>
        <v>9</v>
      </c>
      <c r="AD97" t="str">
        <f t="shared" si="76"/>
        <v>SA</v>
      </c>
      <c r="AE97">
        <f t="shared" si="84"/>
        <v>0.9999999999990905</v>
      </c>
      <c r="AF97" s="19"/>
    </row>
    <row r="98" spans="1:32" s="14" customFormat="1" ht="4.5" customHeight="1">
      <c r="A98" s="73"/>
      <c r="B98" s="33"/>
      <c r="C98" s="37"/>
      <c r="D98" s="37"/>
      <c r="E98" s="37"/>
      <c r="F98" s="37"/>
      <c r="G98" s="38"/>
      <c r="H98" s="37"/>
      <c r="I98" s="39"/>
      <c r="S98" s="31"/>
      <c r="T98" s="28"/>
      <c r="U98" s="26"/>
      <c r="V98" s="26"/>
      <c r="W98" s="31"/>
      <c r="X98" s="28"/>
      <c r="Y98" s="26"/>
      <c r="Z98" s="26"/>
      <c r="AA98" s="29"/>
      <c r="AB98" s="33"/>
      <c r="AF98" s="33"/>
    </row>
    <row r="99" spans="1:32" ht="12.75">
      <c r="A99" s="72" t="s">
        <v>1203</v>
      </c>
      <c r="B99" s="43">
        <v>11</v>
      </c>
      <c r="C99" s="45" t="s">
        <v>55</v>
      </c>
      <c r="D99" s="44" t="s">
        <v>5</v>
      </c>
      <c r="E99" s="44" t="s">
        <v>7</v>
      </c>
      <c r="F99" s="44" t="s">
        <v>12</v>
      </c>
      <c r="G99" s="45" t="s">
        <v>14</v>
      </c>
      <c r="H99" s="44" t="str">
        <f aca="true" t="shared" si="86" ref="H99:H106">CONCATENATE(TEXT(K99,0),L99,TEXT(M99,0))</f>
        <v>25LE35</v>
      </c>
      <c r="I99" s="46" t="str">
        <f aca="true" t="shared" si="87" ref="I99:I106">CONCATENATE(TEXT(O99,0),P99,TEXT(Q99,0))</f>
        <v>4TA25</v>
      </c>
      <c r="K99">
        <f>AB99</f>
        <v>25</v>
      </c>
      <c r="L99" t="str">
        <f aca="true" t="shared" si="88" ref="L99:M101">AD99</f>
        <v>LE</v>
      </c>
      <c r="M99">
        <f t="shared" si="88"/>
        <v>34.99999999999886</v>
      </c>
      <c r="O99">
        <f>29-K99</f>
        <v>4</v>
      </c>
      <c r="P99" t="str">
        <f aca="true" t="shared" si="89" ref="P99:P106">VLOOKUP(AC99,SIGNS,4)</f>
        <v>TA</v>
      </c>
      <c r="Q99">
        <f>60-M99</f>
        <v>25.000000000001137</v>
      </c>
      <c r="S99" s="29">
        <f>VE-SA</f>
        <v>-235.83333333333331</v>
      </c>
      <c r="T99" s="26">
        <f>IF(S99&lt;0,S99+360,S99)</f>
        <v>124.16666666666669</v>
      </c>
      <c r="U99" s="26">
        <f aca="true" t="shared" si="90" ref="U99:U106">T99+ASC</f>
        <v>393.9166666666667</v>
      </c>
      <c r="V99" s="26">
        <f aca="true" t="shared" si="91" ref="V99:V106">IF(U99&gt;360,U99-360,U99)</f>
        <v>33.916666666666686</v>
      </c>
      <c r="W99" s="29">
        <f>SA-VE</f>
        <v>235.83333333333331</v>
      </c>
      <c r="X99" s="26">
        <f>IF(W99&lt;0,W99+360,W99)</f>
        <v>235.83333333333331</v>
      </c>
      <c r="Y99" s="26">
        <f>X99+ASC</f>
        <v>505.5833333333333</v>
      </c>
      <c r="Z99" s="26">
        <f>IF(Y99&gt;360,Y99-360,Y99)</f>
        <v>145.58333333333331</v>
      </c>
      <c r="AA99" s="29">
        <f>IF(SECT="D",V99,Z99)</f>
        <v>145.58333333333331</v>
      </c>
      <c r="AB99" s="19">
        <f aca="true" t="shared" si="92" ref="AB99:AB106">TRUNC(AA99)-VLOOKUP(AC99,SIGNS,3)</f>
        <v>25</v>
      </c>
      <c r="AC99">
        <f>TRUNC(AA99/30)+1</f>
        <v>5</v>
      </c>
      <c r="AD99" t="str">
        <f aca="true" t="shared" si="93" ref="AD99:AD106">VLOOKUP(AC99,SIGNS,2)</f>
        <v>LE</v>
      </c>
      <c r="AE99">
        <f>(AA99-TRUNC(AA99))*60</f>
        <v>34.99999999999886</v>
      </c>
      <c r="AF99" s="19"/>
    </row>
    <row r="100" spans="1:32" ht="12.75">
      <c r="A100" s="72" t="s">
        <v>1204</v>
      </c>
      <c r="B100" s="19">
        <v>11</v>
      </c>
      <c r="C100" s="7" t="s">
        <v>60</v>
      </c>
      <c r="D100" s="7" t="s">
        <v>8</v>
      </c>
      <c r="E100" s="7" t="s">
        <v>50</v>
      </c>
      <c r="F100" s="7" t="s">
        <v>12</v>
      </c>
      <c r="G100" s="9" t="s">
        <v>14</v>
      </c>
      <c r="H100" s="7" t="str">
        <f t="shared" si="86"/>
        <v>14SC50</v>
      </c>
      <c r="I100" s="20" t="str">
        <f t="shared" si="87"/>
        <v>15AQ10</v>
      </c>
      <c r="K100">
        <f>AB100</f>
        <v>14</v>
      </c>
      <c r="L100" t="str">
        <f t="shared" si="88"/>
        <v>SC</v>
      </c>
      <c r="M100">
        <f t="shared" si="88"/>
        <v>49.99999999999545</v>
      </c>
      <c r="O100">
        <f>29-K100</f>
        <v>15</v>
      </c>
      <c r="P100" t="str">
        <f t="shared" si="89"/>
        <v>AQ</v>
      </c>
      <c r="Q100">
        <f>60-M100</f>
        <v>10.000000000004547</v>
      </c>
      <c r="S100" s="29">
        <f>ME-MOON</f>
        <v>44.916666666666686</v>
      </c>
      <c r="T100" s="26">
        <f>IF(S100&lt;0,S100+360,S100)</f>
        <v>44.916666666666686</v>
      </c>
      <c r="U100" s="26">
        <f t="shared" si="90"/>
        <v>314.6666666666667</v>
      </c>
      <c r="V100" s="26">
        <f t="shared" si="91"/>
        <v>314.6666666666667</v>
      </c>
      <c r="W100" s="29">
        <f>MOON-ME</f>
        <v>-44.916666666666686</v>
      </c>
      <c r="X100" s="26">
        <f>IF(W100&lt;0,W100+360,W100)</f>
        <v>315.0833333333333</v>
      </c>
      <c r="Y100" s="26">
        <f>X100+ASC</f>
        <v>584.8333333333333</v>
      </c>
      <c r="Z100" s="26">
        <f>IF(Y100&gt;360,Y100-360,Y100)</f>
        <v>224.83333333333326</v>
      </c>
      <c r="AA100" s="29">
        <f>IF(SECT="D",V100,Z100)</f>
        <v>224.83333333333326</v>
      </c>
      <c r="AB100" s="19">
        <f t="shared" si="92"/>
        <v>14</v>
      </c>
      <c r="AC100">
        <f>TRUNC(AA100/30)+1</f>
        <v>8</v>
      </c>
      <c r="AD100" t="str">
        <f t="shared" si="93"/>
        <v>SC</v>
      </c>
      <c r="AE100">
        <f>(AA100-TRUNC(AA100))*60</f>
        <v>49.99999999999545</v>
      </c>
      <c r="AF100" s="19"/>
    </row>
    <row r="101" spans="1:32" ht="12.75">
      <c r="A101" s="72" t="s">
        <v>1205</v>
      </c>
      <c r="B101" s="19">
        <v>11</v>
      </c>
      <c r="C101" s="9" t="s">
        <v>1110</v>
      </c>
      <c r="D101" s="9" t="s">
        <v>796</v>
      </c>
      <c r="E101" s="9" t="s">
        <v>797</v>
      </c>
      <c r="F101" s="7" t="s">
        <v>12</v>
      </c>
      <c r="G101" s="9" t="s">
        <v>14</v>
      </c>
      <c r="H101" s="7" t="str">
        <f t="shared" si="86"/>
        <v>26AQ1</v>
      </c>
      <c r="I101" s="20" t="str">
        <f t="shared" si="87"/>
        <v>3SC59</v>
      </c>
      <c r="K101">
        <f>AB101</f>
        <v>26</v>
      </c>
      <c r="L101" t="str">
        <f t="shared" si="88"/>
        <v>AQ</v>
      </c>
      <c r="M101">
        <f t="shared" si="88"/>
        <v>0.9999999999990905</v>
      </c>
      <c r="O101">
        <f>29-K101</f>
        <v>3</v>
      </c>
      <c r="P101" t="str">
        <f t="shared" si="89"/>
        <v>SC</v>
      </c>
      <c r="Q101">
        <f>60-M101</f>
        <v>59.00000000000091</v>
      </c>
      <c r="S101" s="29">
        <f>POS-POF</f>
        <v>-56.26666666666665</v>
      </c>
      <c r="T101" s="26">
        <f>IF(S101&lt;0,S101+360,S101)</f>
        <v>303.73333333333335</v>
      </c>
      <c r="U101" s="26">
        <f t="shared" si="90"/>
        <v>573.4833333333333</v>
      </c>
      <c r="V101" s="26">
        <f t="shared" si="91"/>
        <v>213.48333333333335</v>
      </c>
      <c r="W101" s="29">
        <f>POF-POS</f>
        <v>56.26666666666665</v>
      </c>
      <c r="X101" s="26">
        <f>IF(W101&lt;0,W101+360,W101)</f>
        <v>56.26666666666665</v>
      </c>
      <c r="Y101" s="26">
        <f>X101+ASC</f>
        <v>326.01666666666665</v>
      </c>
      <c r="Z101" s="26">
        <f>IF(Y101&gt;360,Y101-360,Y101)</f>
        <v>326.01666666666665</v>
      </c>
      <c r="AA101" s="29">
        <f>IF(SECT="D",V101,Z101)</f>
        <v>326.01666666666665</v>
      </c>
      <c r="AB101" s="19">
        <f t="shared" si="92"/>
        <v>26</v>
      </c>
      <c r="AC101">
        <f>TRUNC(AA101/30)+1</f>
        <v>11</v>
      </c>
      <c r="AD101" t="str">
        <f t="shared" si="93"/>
        <v>AQ</v>
      </c>
      <c r="AE101">
        <f>(AA101-TRUNC(AA101))*60</f>
        <v>0.9999999999990905</v>
      </c>
      <c r="AF101" s="19"/>
    </row>
    <row r="102" spans="2:32" ht="12.75">
      <c r="B102" s="19">
        <v>11</v>
      </c>
      <c r="C102" s="7" t="s">
        <v>152</v>
      </c>
      <c r="D102" s="9" t="s">
        <v>796</v>
      </c>
      <c r="E102" s="7" t="s">
        <v>6</v>
      </c>
      <c r="F102" s="7" t="s">
        <v>12</v>
      </c>
      <c r="G102" s="9" t="s">
        <v>14</v>
      </c>
      <c r="H102" s="7" t="str">
        <f t="shared" si="86"/>
        <v>4SA19</v>
      </c>
      <c r="I102" s="20" t="str">
        <f t="shared" si="87"/>
        <v>25CP41</v>
      </c>
      <c r="K102">
        <f aca="true" t="shared" si="94" ref="K102:K111">AB102</f>
        <v>4</v>
      </c>
      <c r="L102" t="str">
        <f aca="true" t="shared" si="95" ref="L102:L111">AD102</f>
        <v>SA</v>
      </c>
      <c r="M102">
        <f aca="true" t="shared" si="96" ref="M102:M111">AE102</f>
        <v>18.999999999996362</v>
      </c>
      <c r="O102">
        <f aca="true" t="shared" si="97" ref="O102:O111">29-K102</f>
        <v>25</v>
      </c>
      <c r="P102" t="str">
        <f t="shared" si="89"/>
        <v>CP</v>
      </c>
      <c r="Q102">
        <f aca="true" t="shared" si="98" ref="Q102:Q111">60-M102</f>
        <v>41.00000000000364</v>
      </c>
      <c r="S102" s="29">
        <f>SUN-POF</f>
        <v>25.433333333333337</v>
      </c>
      <c r="T102" s="26">
        <f aca="true" t="shared" si="99" ref="T102:T111">IF(S102&lt;0,S102+360,S102)</f>
        <v>25.433333333333337</v>
      </c>
      <c r="U102" s="26">
        <f t="shared" si="90"/>
        <v>295.18333333333334</v>
      </c>
      <c r="V102" s="26">
        <f t="shared" si="91"/>
        <v>295.18333333333334</v>
      </c>
      <c r="W102" s="29">
        <f>POF-SUN</f>
        <v>-25.433333333333337</v>
      </c>
      <c r="X102" s="26">
        <f>IF(W102&lt;0,W102+360,W102)</f>
        <v>334.56666666666666</v>
      </c>
      <c r="Y102" s="26">
        <f>X102+ASC</f>
        <v>604.3166666666666</v>
      </c>
      <c r="Z102" s="26">
        <f>IF(Y102&gt;360,Y102-360,Y102)</f>
        <v>244.3166666666666</v>
      </c>
      <c r="AA102" s="29">
        <f>IF(SECT="D",V102,Z102)</f>
        <v>244.3166666666666</v>
      </c>
      <c r="AB102" s="19">
        <f t="shared" si="92"/>
        <v>4</v>
      </c>
      <c r="AC102">
        <f aca="true" t="shared" si="100" ref="AC102:AC111">TRUNC(AA102/30)+1</f>
        <v>9</v>
      </c>
      <c r="AD102" t="str">
        <f t="shared" si="93"/>
        <v>SA</v>
      </c>
      <c r="AE102">
        <f aca="true" t="shared" si="101" ref="AE102:AE111">(AA102-TRUNC(AA102))*60</f>
        <v>18.999999999996362</v>
      </c>
      <c r="AF102" s="19"/>
    </row>
    <row r="103" spans="2:32" ht="12.75">
      <c r="B103" s="19">
        <v>11</v>
      </c>
      <c r="C103" s="7" t="s">
        <v>153</v>
      </c>
      <c r="D103" s="9" t="s">
        <v>796</v>
      </c>
      <c r="E103" s="7" t="s">
        <v>10</v>
      </c>
      <c r="F103" s="7" t="s">
        <v>12</v>
      </c>
      <c r="G103" s="9" t="s">
        <v>14</v>
      </c>
      <c r="H103" s="7" t="str">
        <f t="shared" si="86"/>
        <v>5SC35</v>
      </c>
      <c r="I103" s="20" t="str">
        <f t="shared" si="87"/>
        <v>24AQ25</v>
      </c>
      <c r="K103">
        <f t="shared" si="94"/>
        <v>5</v>
      </c>
      <c r="L103" t="str">
        <f t="shared" si="95"/>
        <v>SC</v>
      </c>
      <c r="M103">
        <f t="shared" si="96"/>
        <v>34.99999999999545</v>
      </c>
      <c r="O103">
        <f t="shared" si="97"/>
        <v>24</v>
      </c>
      <c r="P103" t="str">
        <f t="shared" si="89"/>
        <v>AQ</v>
      </c>
      <c r="Q103">
        <f t="shared" si="98"/>
        <v>25.000000000004547</v>
      </c>
      <c r="S103" s="29">
        <f>JU-POF</f>
        <v>54.166666666666686</v>
      </c>
      <c r="T103" s="26">
        <f t="shared" si="99"/>
        <v>54.166666666666686</v>
      </c>
      <c r="U103" s="26">
        <f t="shared" si="90"/>
        <v>323.9166666666667</v>
      </c>
      <c r="V103" s="26">
        <f t="shared" si="91"/>
        <v>323.9166666666667</v>
      </c>
      <c r="W103" s="29">
        <f>POF-JU</f>
        <v>-54.166666666666686</v>
      </c>
      <c r="X103" s="26">
        <f>IF(W103&lt;0,W103+360,W103)</f>
        <v>305.8333333333333</v>
      </c>
      <c r="Y103" s="26">
        <f>X103+ASC</f>
        <v>575.5833333333333</v>
      </c>
      <c r="Z103" s="26">
        <f>IF(Y103&gt;360,Y103-360,Y103)</f>
        <v>215.58333333333326</v>
      </c>
      <c r="AA103" s="29">
        <f>IF(SECT="D",V103,Z103)</f>
        <v>215.58333333333326</v>
      </c>
      <c r="AB103" s="19">
        <f t="shared" si="92"/>
        <v>5</v>
      </c>
      <c r="AC103">
        <f t="shared" si="100"/>
        <v>8</v>
      </c>
      <c r="AD103" t="str">
        <f t="shared" si="93"/>
        <v>SC</v>
      </c>
      <c r="AE103">
        <f t="shared" si="101"/>
        <v>34.99999999999545</v>
      </c>
      <c r="AF103" s="19"/>
    </row>
    <row r="104" spans="2:32" ht="12.75">
      <c r="B104" s="19">
        <v>11</v>
      </c>
      <c r="C104" s="7" t="s">
        <v>154</v>
      </c>
      <c r="D104" s="9" t="s">
        <v>797</v>
      </c>
      <c r="E104" s="7" t="s">
        <v>50</v>
      </c>
      <c r="F104" s="7" t="s">
        <v>12</v>
      </c>
      <c r="G104" s="36" t="s">
        <v>13</v>
      </c>
      <c r="H104" s="7" t="str">
        <f t="shared" si="86"/>
        <v>8AR14</v>
      </c>
      <c r="I104" s="20" t="str">
        <f t="shared" si="87"/>
        <v>21VI46</v>
      </c>
      <c r="K104">
        <f>AB104</f>
        <v>8</v>
      </c>
      <c r="L104" t="str">
        <f>AD104</f>
        <v>AR</v>
      </c>
      <c r="M104">
        <f>AE104</f>
        <v>14.00000000000091</v>
      </c>
      <c r="O104">
        <f>29-K104</f>
        <v>21</v>
      </c>
      <c r="P104" t="str">
        <f t="shared" si="89"/>
        <v>VI</v>
      </c>
      <c r="Q104">
        <f>60-M104</f>
        <v>45.99999999999909</v>
      </c>
      <c r="S104" s="29">
        <f>ME-POS</f>
        <v>98.48333333333335</v>
      </c>
      <c r="T104" s="26">
        <f>IF(S104&lt;0,S104+360,S104)</f>
        <v>98.48333333333335</v>
      </c>
      <c r="U104" s="26">
        <f t="shared" si="90"/>
        <v>368.23333333333335</v>
      </c>
      <c r="V104" s="26">
        <f t="shared" si="91"/>
        <v>8.233333333333348</v>
      </c>
      <c r="W104" s="29"/>
      <c r="X104" s="26"/>
      <c r="Y104" s="26"/>
      <c r="Z104" s="26"/>
      <c r="AA104" s="29">
        <f>V104</f>
        <v>8.233333333333348</v>
      </c>
      <c r="AB104" s="19">
        <f t="shared" si="92"/>
        <v>8</v>
      </c>
      <c r="AC104">
        <f>TRUNC(AA104/30)+1</f>
        <v>1</v>
      </c>
      <c r="AD104" t="str">
        <f t="shared" si="93"/>
        <v>AR</v>
      </c>
      <c r="AE104">
        <f>(AA104-TRUNC(AA104))*60</f>
        <v>14.00000000000091</v>
      </c>
      <c r="AF104" s="19"/>
    </row>
    <row r="105" spans="2:32" ht="12.75">
      <c r="B105" s="19">
        <v>11</v>
      </c>
      <c r="C105" s="7" t="s">
        <v>155</v>
      </c>
      <c r="D105" s="7" t="s">
        <v>50</v>
      </c>
      <c r="E105" s="7" t="s">
        <v>6</v>
      </c>
      <c r="F105" s="7" t="s">
        <v>12</v>
      </c>
      <c r="G105" s="9" t="s">
        <v>14</v>
      </c>
      <c r="H105" s="7" t="str">
        <f t="shared" si="86"/>
        <v>16CP32</v>
      </c>
      <c r="I105" s="20" t="str">
        <f t="shared" si="87"/>
        <v>13SA28</v>
      </c>
      <c r="K105">
        <f t="shared" si="94"/>
        <v>16</v>
      </c>
      <c r="L105" t="str">
        <f t="shared" si="95"/>
        <v>CP</v>
      </c>
      <c r="M105">
        <f t="shared" si="96"/>
        <v>32.00000000000159</v>
      </c>
      <c r="O105">
        <f t="shared" si="97"/>
        <v>13</v>
      </c>
      <c r="P105" t="str">
        <f t="shared" si="89"/>
        <v>SA</v>
      </c>
      <c r="Q105">
        <f t="shared" si="98"/>
        <v>27.99999999999841</v>
      </c>
      <c r="S105" s="29">
        <f>SUN-ME</f>
        <v>-16.78333333333336</v>
      </c>
      <c r="T105" s="26">
        <f t="shared" si="99"/>
        <v>343.21666666666664</v>
      </c>
      <c r="U105" s="26">
        <f t="shared" si="90"/>
        <v>612.9666666666667</v>
      </c>
      <c r="V105" s="26">
        <f t="shared" si="91"/>
        <v>252.9666666666667</v>
      </c>
      <c r="W105" s="29">
        <f>ME-SUN</f>
        <v>16.78333333333336</v>
      </c>
      <c r="X105" s="26">
        <f>IF(W105&lt;0,W105+360,W105)</f>
        <v>16.78333333333336</v>
      </c>
      <c r="Y105" s="26">
        <f>X105+ASC</f>
        <v>286.53333333333336</v>
      </c>
      <c r="Z105" s="26">
        <f>IF(Y105&gt;360,Y105-360,Y105)</f>
        <v>286.53333333333336</v>
      </c>
      <c r="AA105" s="29">
        <f>IF(SECT="D",V105,Z105)</f>
        <v>286.53333333333336</v>
      </c>
      <c r="AB105" s="19">
        <f t="shared" si="92"/>
        <v>16</v>
      </c>
      <c r="AC105">
        <f t="shared" si="100"/>
        <v>10</v>
      </c>
      <c r="AD105" t="str">
        <f t="shared" si="93"/>
        <v>CP</v>
      </c>
      <c r="AE105">
        <f t="shared" si="101"/>
        <v>32.00000000000159</v>
      </c>
      <c r="AF105" s="19"/>
    </row>
    <row r="106" spans="2:32" ht="12.75">
      <c r="B106" s="47">
        <v>11</v>
      </c>
      <c r="C106" s="48" t="s">
        <v>57</v>
      </c>
      <c r="D106" s="48" t="s">
        <v>10</v>
      </c>
      <c r="E106" s="48" t="s">
        <v>7</v>
      </c>
      <c r="F106" s="48" t="s">
        <v>12</v>
      </c>
      <c r="G106" s="52" t="s">
        <v>14</v>
      </c>
      <c r="H106" s="48" t="str">
        <f t="shared" si="86"/>
        <v>14SA30</v>
      </c>
      <c r="I106" s="50" t="str">
        <f t="shared" si="87"/>
        <v>15CP30</v>
      </c>
      <c r="K106">
        <f>AB106</f>
        <v>14</v>
      </c>
      <c r="L106" t="str">
        <f>AD106</f>
        <v>SA</v>
      </c>
      <c r="M106">
        <f>AE106</f>
        <v>30</v>
      </c>
      <c r="O106">
        <f>29-K106</f>
        <v>15</v>
      </c>
      <c r="P106" t="str">
        <f t="shared" si="89"/>
        <v>CP</v>
      </c>
      <c r="Q106">
        <f>60-M106</f>
        <v>30</v>
      </c>
      <c r="S106" s="29">
        <f>VE-JU</f>
        <v>-344.75</v>
      </c>
      <c r="T106" s="26">
        <f>IF(S106&lt;0,S106+360,S106)</f>
        <v>15.25</v>
      </c>
      <c r="U106" s="26">
        <f t="shared" si="90"/>
        <v>285</v>
      </c>
      <c r="V106" s="26">
        <f t="shared" si="91"/>
        <v>285</v>
      </c>
      <c r="W106" s="29">
        <f>JU-VE</f>
        <v>344.75</v>
      </c>
      <c r="X106" s="26">
        <f>IF(W106&lt;0,W106+360,W106)</f>
        <v>344.75</v>
      </c>
      <c r="Y106" s="26">
        <f>X106+ASC</f>
        <v>614.5</v>
      </c>
      <c r="Z106" s="26">
        <f>IF(Y106&gt;360,Y106-360,Y106)</f>
        <v>254.5</v>
      </c>
      <c r="AA106" s="29">
        <f>IF(SECT="D",V106,Z106)</f>
        <v>254.5</v>
      </c>
      <c r="AB106" s="19">
        <f t="shared" si="92"/>
        <v>14</v>
      </c>
      <c r="AC106">
        <f>TRUNC(AA106/30)+1</f>
        <v>9</v>
      </c>
      <c r="AD106" t="str">
        <f t="shared" si="93"/>
        <v>SA</v>
      </c>
      <c r="AE106">
        <f>(AA106-TRUNC(AA106))*60</f>
        <v>30</v>
      </c>
      <c r="AF106" s="19"/>
    </row>
    <row r="107" spans="2:32" ht="4.5" customHeight="1">
      <c r="B107" s="19"/>
      <c r="C107" s="7"/>
      <c r="D107" s="7"/>
      <c r="E107" s="7"/>
      <c r="F107" s="7"/>
      <c r="G107" s="9"/>
      <c r="H107" s="7"/>
      <c r="I107" s="20"/>
      <c r="S107" s="29"/>
      <c r="T107" s="26"/>
      <c r="U107" s="26"/>
      <c r="V107" s="26"/>
      <c r="W107" s="29"/>
      <c r="X107" s="26"/>
      <c r="Y107" s="26"/>
      <c r="Z107" s="26"/>
      <c r="AA107" s="29"/>
      <c r="AB107" s="19"/>
      <c r="AF107" s="19"/>
    </row>
    <row r="108" spans="2:32" ht="12.75">
      <c r="B108" s="43">
        <v>12</v>
      </c>
      <c r="C108" s="45" t="s">
        <v>1118</v>
      </c>
      <c r="D108" s="44" t="s">
        <v>9</v>
      </c>
      <c r="E108" s="44" t="s">
        <v>5</v>
      </c>
      <c r="F108" s="44" t="s">
        <v>12</v>
      </c>
      <c r="G108" s="45" t="s">
        <v>14</v>
      </c>
      <c r="H108" s="44" t="str">
        <f>CONCATENATE(TEXT(K108,0),L108,TEXT(M108,0))</f>
        <v>22SC5</v>
      </c>
      <c r="I108" s="46" t="str">
        <f>CONCATENATE(TEXT(O108,0),P108,TEXT(Q108,0))</f>
        <v>7AQ55</v>
      </c>
      <c r="K108">
        <f>AB108</f>
        <v>22</v>
      </c>
      <c r="L108" t="str">
        <f>AD108</f>
        <v>SC</v>
      </c>
      <c r="M108">
        <f>AE108</f>
        <v>5.000000000002274</v>
      </c>
      <c r="O108">
        <f>29-K108</f>
        <v>7</v>
      </c>
      <c r="P108" t="str">
        <f>VLOOKUP(AC108,SIGNS,4)</f>
        <v>AQ</v>
      </c>
      <c r="Q108">
        <f>60-M108</f>
        <v>54.999999999997726</v>
      </c>
      <c r="S108" s="29">
        <f>SA-MA</f>
        <v>37.66666666666666</v>
      </c>
      <c r="T108" s="26">
        <f>IF(S108&lt;0,S108+360,S108)</f>
        <v>37.66666666666666</v>
      </c>
      <c r="U108" s="26">
        <f>T108+ASC</f>
        <v>307.41666666666663</v>
      </c>
      <c r="V108" s="26">
        <f>IF(U108&gt;360,U108-360,U108)</f>
        <v>307.41666666666663</v>
      </c>
      <c r="W108" s="29">
        <f>MA-SA</f>
        <v>-37.66666666666666</v>
      </c>
      <c r="X108" s="26">
        <f>IF(W108&lt;0,W108+360,W108)</f>
        <v>322.33333333333337</v>
      </c>
      <c r="Y108" s="26">
        <f>X108+ASC</f>
        <v>592.0833333333334</v>
      </c>
      <c r="Z108" s="26">
        <f>IF(Y108&gt;360,Y108-360,Y108)</f>
        <v>232.08333333333337</v>
      </c>
      <c r="AA108" s="29">
        <f>IF(SECT="D",V108,Z108)</f>
        <v>232.08333333333337</v>
      </c>
      <c r="AB108" s="19">
        <f>TRUNC(AA108)-VLOOKUP(AC108,SIGNS,3)</f>
        <v>22</v>
      </c>
      <c r="AC108">
        <f>TRUNC(AA108/30)+1</f>
        <v>8</v>
      </c>
      <c r="AD108" t="str">
        <f>VLOOKUP(AC108,SIGNS,2)</f>
        <v>SC</v>
      </c>
      <c r="AE108">
        <f>(AA108-TRUNC(AA108))*60</f>
        <v>5.000000000002274</v>
      </c>
      <c r="AF108" s="19"/>
    </row>
    <row r="109" spans="1:32" ht="12.75">
      <c r="A109" s="72" t="s">
        <v>1206</v>
      </c>
      <c r="B109" s="19">
        <v>12</v>
      </c>
      <c r="C109" s="9" t="s">
        <v>1119</v>
      </c>
      <c r="D109" s="7" t="s">
        <v>5</v>
      </c>
      <c r="E109" s="7" t="s">
        <v>9</v>
      </c>
      <c r="F109" s="7" t="s">
        <v>12</v>
      </c>
      <c r="G109" s="36" t="s">
        <v>13</v>
      </c>
      <c r="H109" s="7" t="str">
        <f>CONCATENATE(TEXT(K109,0),L109,TEXT(M109,0))</f>
        <v>22SC5</v>
      </c>
      <c r="I109" s="20" t="str">
        <f>CONCATENATE(TEXT(O109,0),P109,TEXT(Q109,0))</f>
        <v>7AQ55</v>
      </c>
      <c r="K109">
        <f>AB109</f>
        <v>22</v>
      </c>
      <c r="L109" t="str">
        <f>AD109</f>
        <v>SC</v>
      </c>
      <c r="M109">
        <f>AE109</f>
        <v>5.000000000002274</v>
      </c>
      <c r="O109">
        <f>29-K109</f>
        <v>7</v>
      </c>
      <c r="P109" t="str">
        <f>VLOOKUP(AC109,SIGNS,4)</f>
        <v>AQ</v>
      </c>
      <c r="Q109">
        <f>60-M109</f>
        <v>54.999999999997726</v>
      </c>
      <c r="S109" s="29">
        <f>MA-SA</f>
        <v>-37.66666666666666</v>
      </c>
      <c r="T109" s="26">
        <f>IF(S109&lt;0,S109+360,S109)</f>
        <v>322.33333333333337</v>
      </c>
      <c r="U109" s="26">
        <f>T109+ASC</f>
        <v>592.0833333333334</v>
      </c>
      <c r="V109" s="26">
        <f>IF(U109&gt;360,U109-360,U109)</f>
        <v>232.08333333333337</v>
      </c>
      <c r="W109" s="29"/>
      <c r="X109" s="26"/>
      <c r="Y109" s="26"/>
      <c r="Z109" s="26"/>
      <c r="AA109" s="29">
        <f>V109</f>
        <v>232.08333333333337</v>
      </c>
      <c r="AB109" s="19">
        <f>TRUNC(AA109)-VLOOKUP(AC109,SIGNS,3)</f>
        <v>22</v>
      </c>
      <c r="AC109">
        <f>TRUNC(AA109/30)+1</f>
        <v>8</v>
      </c>
      <c r="AD109" t="str">
        <f>VLOOKUP(AC109,SIGNS,2)</f>
        <v>SC</v>
      </c>
      <c r="AE109">
        <f>(AA109-TRUNC(AA109))*60</f>
        <v>5.000000000002274</v>
      </c>
      <c r="AF109" s="19"/>
    </row>
    <row r="110" spans="1:32" ht="12.75">
      <c r="A110" s="72" t="s">
        <v>1207</v>
      </c>
      <c r="B110" s="19">
        <v>12</v>
      </c>
      <c r="C110" s="9" t="s">
        <v>1120</v>
      </c>
      <c r="D110" s="7" t="s">
        <v>368</v>
      </c>
      <c r="E110" s="7" t="s">
        <v>369</v>
      </c>
      <c r="F110" s="7" t="s">
        <v>12</v>
      </c>
      <c r="G110" s="36" t="s">
        <v>13</v>
      </c>
      <c r="H110" s="7" t="str">
        <f>CONCATENATE(TEXT(K110,0),L110,TEXT(M110,0))</f>
        <v>15VI42</v>
      </c>
      <c r="I110" s="20" t="str">
        <f>CONCATENATE(TEXT(O110,0),P110,TEXT(Q110,0))</f>
        <v>14AR18</v>
      </c>
      <c r="K110">
        <f t="shared" si="94"/>
        <v>15</v>
      </c>
      <c r="L110" t="str">
        <f t="shared" si="95"/>
        <v>VI</v>
      </c>
      <c r="M110">
        <f t="shared" si="96"/>
        <v>42.00000000000273</v>
      </c>
      <c r="O110">
        <f t="shared" si="97"/>
        <v>14</v>
      </c>
      <c r="P110" t="str">
        <f>VLOOKUP(AC110,SIGNS,4)</f>
        <v>AR</v>
      </c>
      <c r="Q110">
        <f t="shared" si="98"/>
        <v>17.99999999999727</v>
      </c>
      <c r="S110" s="29">
        <f>CUSP12-LORD12</f>
        <v>-104.05000000000001</v>
      </c>
      <c r="T110" s="26">
        <f t="shared" si="99"/>
        <v>255.95</v>
      </c>
      <c r="U110" s="26">
        <f>T110+ASC</f>
        <v>525.7</v>
      </c>
      <c r="V110" s="26">
        <f>IF(U110&gt;360,U110-360,U110)</f>
        <v>165.70000000000005</v>
      </c>
      <c r="W110" s="29"/>
      <c r="X110" s="26"/>
      <c r="Y110" s="26"/>
      <c r="Z110" s="26"/>
      <c r="AA110" s="29">
        <f>V110</f>
        <v>165.70000000000005</v>
      </c>
      <c r="AB110" s="19">
        <f>TRUNC(AA110)-VLOOKUP(AC110,SIGNS,3)</f>
        <v>15</v>
      </c>
      <c r="AC110">
        <f t="shared" si="100"/>
        <v>6</v>
      </c>
      <c r="AD110" t="str">
        <f>VLOOKUP(AC110,SIGNS,2)</f>
        <v>VI</v>
      </c>
      <c r="AE110">
        <f t="shared" si="101"/>
        <v>42.00000000000273</v>
      </c>
      <c r="AF110" s="19"/>
    </row>
    <row r="111" spans="2:32" ht="12.75">
      <c r="B111" s="47">
        <v>12</v>
      </c>
      <c r="C111" s="48" t="s">
        <v>156</v>
      </c>
      <c r="D111" s="52" t="s">
        <v>797</v>
      </c>
      <c r="E111" s="52" t="s">
        <v>796</v>
      </c>
      <c r="F111" s="48" t="s">
        <v>12</v>
      </c>
      <c r="G111" s="52" t="s">
        <v>14</v>
      </c>
      <c r="H111" s="48" t="str">
        <f>CONCATENATE(TEXT(K111,0),L111,TEXT(M111,0))</f>
        <v>3SC29</v>
      </c>
      <c r="I111" s="50" t="str">
        <f>CONCATENATE(TEXT(O111,0),P111,TEXT(Q111,0))</f>
        <v>26AQ31</v>
      </c>
      <c r="K111">
        <f t="shared" si="94"/>
        <v>3</v>
      </c>
      <c r="L111" t="str">
        <f t="shared" si="95"/>
        <v>SC</v>
      </c>
      <c r="M111">
        <f t="shared" si="96"/>
        <v>29.00000000000091</v>
      </c>
      <c r="O111">
        <f t="shared" si="97"/>
        <v>26</v>
      </c>
      <c r="P111" t="str">
        <f>VLOOKUP(AC111,SIGNS,4)</f>
        <v>AQ</v>
      </c>
      <c r="Q111">
        <f t="shared" si="98"/>
        <v>30.99999999999909</v>
      </c>
      <c r="S111" s="29">
        <f>POF-POS</f>
        <v>56.26666666666665</v>
      </c>
      <c r="T111" s="26">
        <f t="shared" si="99"/>
        <v>56.26666666666665</v>
      </c>
      <c r="U111" s="26">
        <f>T111+ASC</f>
        <v>326.01666666666665</v>
      </c>
      <c r="V111" s="26">
        <f>IF(U111&gt;360,U111-360,U111)</f>
        <v>326.01666666666665</v>
      </c>
      <c r="W111" s="29">
        <f>POS-POF</f>
        <v>-56.26666666666665</v>
      </c>
      <c r="X111" s="26">
        <f>IF(W111&lt;0,W111+360,W111)</f>
        <v>303.73333333333335</v>
      </c>
      <c r="Y111" s="26">
        <f>X111+ASC</f>
        <v>573.4833333333333</v>
      </c>
      <c r="Z111" s="26">
        <f>IF(Y111&gt;360,Y111-360,Y111)</f>
        <v>213.48333333333335</v>
      </c>
      <c r="AA111" s="29">
        <f>IF(SECT="D",V111,Z111)</f>
        <v>213.48333333333335</v>
      </c>
      <c r="AB111" s="19">
        <f>TRUNC(AA111)-VLOOKUP(AC111,SIGNS,3)</f>
        <v>3</v>
      </c>
      <c r="AC111">
        <f t="shared" si="100"/>
        <v>8</v>
      </c>
      <c r="AD111" t="str">
        <f>VLOOKUP(AC111,SIGNS,2)</f>
        <v>SC</v>
      </c>
      <c r="AE111">
        <f t="shared" si="101"/>
        <v>29.00000000000091</v>
      </c>
      <c r="AF111" s="19"/>
    </row>
    <row r="112" spans="2:32" ht="4.5" customHeight="1">
      <c r="B112" s="19"/>
      <c r="C112" s="7"/>
      <c r="D112" s="7"/>
      <c r="E112" s="7"/>
      <c r="F112" s="7"/>
      <c r="G112" s="9"/>
      <c r="H112" s="7"/>
      <c r="I112" s="20"/>
      <c r="S112" s="29"/>
      <c r="T112" s="26"/>
      <c r="U112" s="26"/>
      <c r="V112" s="26"/>
      <c r="W112" s="29"/>
      <c r="X112" s="26"/>
      <c r="Y112" s="26"/>
      <c r="Z112" s="26"/>
      <c r="AA112" s="29"/>
      <c r="AB112" s="19"/>
      <c r="AF112" s="19"/>
    </row>
    <row r="113" spans="1:32" ht="12.75">
      <c r="A113" s="72" t="s">
        <v>1208</v>
      </c>
      <c r="B113" s="43"/>
      <c r="C113" s="45" t="s">
        <v>1137</v>
      </c>
      <c r="D113" s="44" t="s">
        <v>8</v>
      </c>
      <c r="E113" s="44" t="s">
        <v>10</v>
      </c>
      <c r="F113" s="44" t="s">
        <v>12</v>
      </c>
      <c r="G113" s="45" t="s">
        <v>14</v>
      </c>
      <c r="H113" s="44" t="str">
        <f>CONCATENATE(TEXT(K113,0),L113,TEXT(M113,0))</f>
        <v>2SC53</v>
      </c>
      <c r="I113" s="46" t="str">
        <f>CONCATENATE(TEXT(O113,0),P113,TEXT(Q113,0))</f>
        <v>27AQ7</v>
      </c>
      <c r="K113">
        <f>AB113</f>
        <v>2</v>
      </c>
      <c r="L113" t="str">
        <f>AD113</f>
        <v>SC</v>
      </c>
      <c r="M113">
        <f>AE113</f>
        <v>52.999999999999545</v>
      </c>
      <c r="O113">
        <f>29-K113</f>
        <v>27</v>
      </c>
      <c r="P113" t="str">
        <f>VLOOKUP(AC113,SIGNS,4)</f>
        <v>AQ</v>
      </c>
      <c r="Q113">
        <f>60-M113</f>
        <v>7.000000000000455</v>
      </c>
      <c r="S113" s="29">
        <f>JU-MOON</f>
        <v>56.866666666666674</v>
      </c>
      <c r="T113" s="26">
        <f>IF(S113&lt;0,S113+360,S113)</f>
        <v>56.866666666666674</v>
      </c>
      <c r="U113" s="26">
        <f>T113+ASC</f>
        <v>326.6166666666667</v>
      </c>
      <c r="V113" s="26">
        <f>IF(U113&gt;360,U113-360,U113)</f>
        <v>326.6166666666667</v>
      </c>
      <c r="W113" s="29">
        <f>MOON-JU</f>
        <v>-56.866666666666674</v>
      </c>
      <c r="X113" s="26">
        <f>IF(W113&lt;0,W113+360,W113)</f>
        <v>303.1333333333333</v>
      </c>
      <c r="Y113" s="26">
        <f>X113+ASC</f>
        <v>572.8833333333333</v>
      </c>
      <c r="Z113" s="26">
        <f>IF(Y113&gt;360,Y113-360,Y113)</f>
        <v>212.88333333333333</v>
      </c>
      <c r="AA113" s="29">
        <f>IF(SECT="D",V113,Z113)</f>
        <v>212.88333333333333</v>
      </c>
      <c r="AB113" s="19">
        <f>TRUNC(AA113)-VLOOKUP(AC113,SIGNS,3)</f>
        <v>2</v>
      </c>
      <c r="AC113">
        <f>TRUNC(AA113/30)+1</f>
        <v>8</v>
      </c>
      <c r="AD113" t="str">
        <f>VLOOKUP(AC113,SIGNS,2)</f>
        <v>SC</v>
      </c>
      <c r="AE113">
        <f>(AA113-TRUNC(AA113))*60</f>
        <v>52.999999999999545</v>
      </c>
      <c r="AF113" s="19"/>
    </row>
    <row r="114" spans="1:32" ht="12.75">
      <c r="A114" s="72" t="s">
        <v>1209</v>
      </c>
      <c r="B114" s="40"/>
      <c r="C114" s="9" t="s">
        <v>1135</v>
      </c>
      <c r="D114" s="7" t="s">
        <v>5</v>
      </c>
      <c r="E114" s="7" t="s">
        <v>8</v>
      </c>
      <c r="F114" s="7" t="s">
        <v>12</v>
      </c>
      <c r="G114" s="9" t="s">
        <v>14</v>
      </c>
      <c r="H114" s="7" t="str">
        <f aca="true" t="shared" si="102" ref="H114:H121">CONCATENATE(TEXT(K114,0),L114,TEXT(M114,0))</f>
        <v>7SC42</v>
      </c>
      <c r="I114" s="20" t="str">
        <f aca="true" t="shared" si="103" ref="I114:I121">CONCATENATE(TEXT(O114,0),P114,TEXT(Q114,0))</f>
        <v>22AQ18</v>
      </c>
      <c r="K114">
        <f aca="true" t="shared" si="104" ref="K114:K121">AB114</f>
        <v>7</v>
      </c>
      <c r="L114" t="str">
        <f aca="true" t="shared" si="105" ref="L114:M121">AD114</f>
        <v>SC</v>
      </c>
      <c r="M114">
        <f t="shared" si="105"/>
        <v>42.00000000000273</v>
      </c>
      <c r="O114">
        <f aca="true" t="shared" si="106" ref="O114:O121">29-K114</f>
        <v>22</v>
      </c>
      <c r="P114" t="str">
        <f aca="true" t="shared" si="107" ref="P114:P121">VLOOKUP(AC114,SIGNS,4)</f>
        <v>AQ</v>
      </c>
      <c r="Q114">
        <f aca="true" t="shared" si="108" ref="Q114:Q121">60-M114</f>
        <v>17.99999999999727</v>
      </c>
      <c r="S114" s="29">
        <f>MOON-SA</f>
        <v>52.05000000000001</v>
      </c>
      <c r="T114" s="26">
        <f aca="true" t="shared" si="109" ref="T114:T121">IF(S114&lt;0,S114+360,S114)</f>
        <v>52.05000000000001</v>
      </c>
      <c r="U114" s="26">
        <f>T114+ASC</f>
        <v>321.8</v>
      </c>
      <c r="V114" s="26">
        <f aca="true" t="shared" si="110" ref="V114:V121">IF(U114&gt;360,U114-360,U114)</f>
        <v>321.8</v>
      </c>
      <c r="W114" s="29">
        <f>SA-MOON</f>
        <v>-52.05000000000001</v>
      </c>
      <c r="X114" s="26">
        <f>IF(W114&lt;0,W114+360,W114)</f>
        <v>307.95</v>
      </c>
      <c r="Y114" s="26">
        <f>X114+ASC</f>
        <v>577.7</v>
      </c>
      <c r="Z114" s="26">
        <f>IF(Y114&gt;360,Y114-360,Y114)</f>
        <v>217.70000000000005</v>
      </c>
      <c r="AA114" s="29">
        <f>IF(SECT="D",V114,Z114)</f>
        <v>217.70000000000005</v>
      </c>
      <c r="AB114" s="19">
        <f aca="true" t="shared" si="111" ref="AB114:AB121">TRUNC(AA114)-VLOOKUP(AC114,SIGNS,3)</f>
        <v>7</v>
      </c>
      <c r="AC114">
        <f aca="true" t="shared" si="112" ref="AC114:AC121">TRUNC(AA114/30)+1</f>
        <v>8</v>
      </c>
      <c r="AD114" t="str">
        <f aca="true" t="shared" si="113" ref="AD114:AD121">VLOOKUP(AC114,SIGNS,2)</f>
        <v>SC</v>
      </c>
      <c r="AE114">
        <f aca="true" t="shared" si="114" ref="AE114:AE121">(AA114-TRUNC(AA114))*60</f>
        <v>42.00000000000273</v>
      </c>
      <c r="AF114" s="19"/>
    </row>
    <row r="115" spans="1:32" ht="12.75">
      <c r="A115" s="72" t="s">
        <v>1210</v>
      </c>
      <c r="B115" s="19"/>
      <c r="C115" s="9" t="s">
        <v>1138</v>
      </c>
      <c r="D115" s="7" t="s">
        <v>8</v>
      </c>
      <c r="E115" s="7" t="s">
        <v>50</v>
      </c>
      <c r="F115" s="7" t="s">
        <v>12</v>
      </c>
      <c r="G115" s="36" t="s">
        <v>13</v>
      </c>
      <c r="H115" s="7" t="str">
        <f>CONCATENATE(TEXT(K115,0),L115,TEXT(M115,0))</f>
        <v>14AQ40</v>
      </c>
      <c r="I115" s="20" t="str">
        <f>CONCATENATE(TEXT(O115,0),P115,TEXT(Q115,0))</f>
        <v>15SC20</v>
      </c>
      <c r="K115">
        <f>AB115</f>
        <v>14</v>
      </c>
      <c r="L115" t="str">
        <f>AD115</f>
        <v>AQ</v>
      </c>
      <c r="M115">
        <f>AE115</f>
        <v>40.00000000000114</v>
      </c>
      <c r="O115">
        <f>29-K115</f>
        <v>15</v>
      </c>
      <c r="P115" t="str">
        <f>VLOOKUP(AC115,SIGNS,4)</f>
        <v>SC</v>
      </c>
      <c r="Q115">
        <f>60-M115</f>
        <v>19.999999999998863</v>
      </c>
      <c r="S115" s="29">
        <f>ME-MOON</f>
        <v>44.916666666666686</v>
      </c>
      <c r="T115" s="26">
        <f>IF(S115&lt;0,S115+360,S115)</f>
        <v>44.916666666666686</v>
      </c>
      <c r="U115" s="26">
        <f>T115+ASC</f>
        <v>314.6666666666667</v>
      </c>
      <c r="V115" s="26">
        <f>IF(U115&gt;360,U115-360,U115)</f>
        <v>314.6666666666667</v>
      </c>
      <c r="W115" s="29"/>
      <c r="X115" s="26"/>
      <c r="Y115" s="26"/>
      <c r="Z115" s="26"/>
      <c r="AA115" s="29">
        <f>V115</f>
        <v>314.6666666666667</v>
      </c>
      <c r="AB115" s="19">
        <f>TRUNC(AA115)-VLOOKUP(AC115,SIGNS,3)</f>
        <v>14</v>
      </c>
      <c r="AC115">
        <f>TRUNC(AA115/30)+1</f>
        <v>11</v>
      </c>
      <c r="AD115" t="str">
        <f>VLOOKUP(AC115,SIGNS,2)</f>
        <v>AQ</v>
      </c>
      <c r="AE115">
        <f>(AA115-TRUNC(AA115))*60</f>
        <v>40.00000000000114</v>
      </c>
      <c r="AF115" s="19"/>
    </row>
    <row r="116" spans="2:32" ht="12.75">
      <c r="B116" s="40"/>
      <c r="C116" s="7" t="s">
        <v>158</v>
      </c>
      <c r="D116" s="7" t="s">
        <v>417</v>
      </c>
      <c r="E116" s="7" t="s">
        <v>8</v>
      </c>
      <c r="F116" s="7" t="s">
        <v>12</v>
      </c>
      <c r="G116" s="9" t="s">
        <v>14</v>
      </c>
      <c r="H116" s="7" t="str">
        <f t="shared" si="102"/>
        <v>26AQ37</v>
      </c>
      <c r="I116" s="20" t="str">
        <f t="shared" si="103"/>
        <v>3SC23</v>
      </c>
      <c r="K116">
        <f t="shared" si="104"/>
        <v>26</v>
      </c>
      <c r="L116" t="str">
        <f t="shared" si="105"/>
        <v>AQ</v>
      </c>
      <c r="M116">
        <f t="shared" si="105"/>
        <v>37.000000000000455</v>
      </c>
      <c r="O116">
        <f t="shared" si="106"/>
        <v>3</v>
      </c>
      <c r="P116" t="str">
        <f t="shared" si="107"/>
        <v>SC</v>
      </c>
      <c r="Q116">
        <f t="shared" si="108"/>
        <v>22.999999999999545</v>
      </c>
      <c r="S116" s="29">
        <f>MOON-LORD1</f>
        <v>-56.866666666666674</v>
      </c>
      <c r="T116" s="26">
        <f t="shared" si="109"/>
        <v>303.1333333333333</v>
      </c>
      <c r="U116" s="26">
        <f>T116+ASC</f>
        <v>572.8833333333333</v>
      </c>
      <c r="V116" s="26">
        <f t="shared" si="110"/>
        <v>212.88333333333333</v>
      </c>
      <c r="W116" s="29">
        <f>LORD1-MOON</f>
        <v>56.866666666666674</v>
      </c>
      <c r="X116" s="26">
        <f>IF(W116&lt;0,W116+360,W116)</f>
        <v>56.866666666666674</v>
      </c>
      <c r="Y116" s="26">
        <f>X116+ASC</f>
        <v>326.6166666666667</v>
      </c>
      <c r="Z116" s="26">
        <f>IF(Y116&gt;360,Y116-360,Y116)</f>
        <v>326.6166666666667</v>
      </c>
      <c r="AA116" s="29">
        <f>IF(SECT="D",V116,Z116)</f>
        <v>326.6166666666667</v>
      </c>
      <c r="AB116" s="19">
        <f t="shared" si="111"/>
        <v>26</v>
      </c>
      <c r="AC116">
        <f t="shared" si="112"/>
        <v>11</v>
      </c>
      <c r="AD116" t="str">
        <f t="shared" si="113"/>
        <v>AQ</v>
      </c>
      <c r="AE116">
        <f t="shared" si="114"/>
        <v>37.000000000000455</v>
      </c>
      <c r="AF116" s="19"/>
    </row>
    <row r="117" spans="2:32" ht="12.75">
      <c r="B117" s="40"/>
      <c r="C117" s="7" t="s">
        <v>159</v>
      </c>
      <c r="D117" s="7" t="s">
        <v>50</v>
      </c>
      <c r="E117" s="9" t="s">
        <v>797</v>
      </c>
      <c r="F117" s="7" t="s">
        <v>12</v>
      </c>
      <c r="G117" s="9" t="s">
        <v>14</v>
      </c>
      <c r="H117" s="7" t="str">
        <f t="shared" si="102"/>
        <v>8AR14</v>
      </c>
      <c r="I117" s="20" t="str">
        <f t="shared" si="103"/>
        <v>21VI46</v>
      </c>
      <c r="K117">
        <f t="shared" si="104"/>
        <v>8</v>
      </c>
      <c r="L117" t="str">
        <f t="shared" si="105"/>
        <v>AR</v>
      </c>
      <c r="M117">
        <f t="shared" si="105"/>
        <v>14.00000000000091</v>
      </c>
      <c r="O117">
        <f t="shared" si="106"/>
        <v>21</v>
      </c>
      <c r="P117" t="str">
        <f t="shared" si="107"/>
        <v>VI</v>
      </c>
      <c r="Q117">
        <f t="shared" si="108"/>
        <v>45.99999999999909</v>
      </c>
      <c r="S117" s="29">
        <f>POS-ME</f>
        <v>-98.48333333333335</v>
      </c>
      <c r="T117" s="26">
        <f t="shared" si="109"/>
        <v>261.51666666666665</v>
      </c>
      <c r="U117" s="26">
        <f>T117+ASC</f>
        <v>531.2666666666667</v>
      </c>
      <c r="V117" s="26">
        <f t="shared" si="110"/>
        <v>171.26666666666665</v>
      </c>
      <c r="W117" s="29">
        <f>ME-POS</f>
        <v>98.48333333333335</v>
      </c>
      <c r="X117" s="26">
        <f>IF(W117&lt;0,W117+360,W117)</f>
        <v>98.48333333333335</v>
      </c>
      <c r="Y117" s="26">
        <f>X117+ASC</f>
        <v>368.23333333333335</v>
      </c>
      <c r="Z117" s="26">
        <f>IF(Y117&gt;360,Y117-360,Y117)</f>
        <v>8.233333333333348</v>
      </c>
      <c r="AA117" s="29">
        <f>IF(SECT="D",V117,Z117)</f>
        <v>8.233333333333348</v>
      </c>
      <c r="AB117" s="19">
        <f t="shared" si="111"/>
        <v>8</v>
      </c>
      <c r="AC117">
        <f t="shared" si="112"/>
        <v>1</v>
      </c>
      <c r="AD117" t="str">
        <f t="shared" si="113"/>
        <v>AR</v>
      </c>
      <c r="AE117">
        <f t="shared" si="114"/>
        <v>14.00000000000091</v>
      </c>
      <c r="AF117" s="19"/>
    </row>
    <row r="118" spans="2:32" ht="12.75">
      <c r="B118" s="40"/>
      <c r="C118" s="7" t="s">
        <v>160</v>
      </c>
      <c r="D118" s="7" t="s">
        <v>5</v>
      </c>
      <c r="E118" s="7" t="s">
        <v>9</v>
      </c>
      <c r="F118" s="7" t="s">
        <v>50</v>
      </c>
      <c r="G118" s="36" t="s">
        <v>13</v>
      </c>
      <c r="H118" s="7" t="str">
        <f t="shared" si="102"/>
        <v>2AQ26</v>
      </c>
      <c r="I118" s="20" t="str">
        <f t="shared" si="103"/>
        <v>27SC34</v>
      </c>
      <c r="K118">
        <f t="shared" si="104"/>
        <v>2</v>
      </c>
      <c r="L118" t="str">
        <f t="shared" si="105"/>
        <v>AQ</v>
      </c>
      <c r="M118">
        <f t="shared" si="105"/>
        <v>26.000000000003638</v>
      </c>
      <c r="O118">
        <f t="shared" si="106"/>
        <v>27</v>
      </c>
      <c r="P118" t="str">
        <f t="shared" si="107"/>
        <v>SC</v>
      </c>
      <c r="Q118">
        <f t="shared" si="108"/>
        <v>33.99999999999636</v>
      </c>
      <c r="S118" s="29">
        <f>MA-SA</f>
        <v>-37.66666666666666</v>
      </c>
      <c r="T118" s="26">
        <f t="shared" si="109"/>
        <v>322.33333333333337</v>
      </c>
      <c r="U118" s="26">
        <f>T118+ME</f>
        <v>662.4333333333334</v>
      </c>
      <c r="V118" s="26">
        <f t="shared" si="110"/>
        <v>302.4333333333334</v>
      </c>
      <c r="W118" s="29"/>
      <c r="X118" s="26"/>
      <c r="Y118" s="26"/>
      <c r="Z118" s="26"/>
      <c r="AA118" s="29">
        <f>V118</f>
        <v>302.4333333333334</v>
      </c>
      <c r="AB118" s="19">
        <f t="shared" si="111"/>
        <v>2</v>
      </c>
      <c r="AC118">
        <f t="shared" si="112"/>
        <v>11</v>
      </c>
      <c r="AD118" t="str">
        <f t="shared" si="113"/>
        <v>AQ</v>
      </c>
      <c r="AE118">
        <f t="shared" si="114"/>
        <v>26.000000000003638</v>
      </c>
      <c r="AF118" s="19"/>
    </row>
    <row r="119" spans="2:32" ht="12.75">
      <c r="B119" s="40"/>
      <c r="C119" s="7" t="s">
        <v>161</v>
      </c>
      <c r="D119" s="7" t="s">
        <v>9</v>
      </c>
      <c r="E119" s="7" t="s">
        <v>63</v>
      </c>
      <c r="F119" s="7" t="s">
        <v>12</v>
      </c>
      <c r="G119" s="36" t="s">
        <v>13</v>
      </c>
      <c r="H119" s="7" t="str">
        <f t="shared" si="102"/>
        <v>15TA34</v>
      </c>
      <c r="I119" s="20" t="str">
        <f t="shared" si="103"/>
        <v>14LE26</v>
      </c>
      <c r="K119">
        <f t="shared" si="104"/>
        <v>15</v>
      </c>
      <c r="L119" t="str">
        <f t="shared" si="105"/>
        <v>TA</v>
      </c>
      <c r="M119">
        <f t="shared" si="105"/>
        <v>34.00000000000318</v>
      </c>
      <c r="O119">
        <f t="shared" si="106"/>
        <v>14</v>
      </c>
      <c r="P119" t="str">
        <f t="shared" si="107"/>
        <v>LE</v>
      </c>
      <c r="Q119">
        <f t="shared" si="108"/>
        <v>25.999999999996817</v>
      </c>
      <c r="S119" s="29">
        <f>CUSP3-MA</f>
        <v>135.8166666666667</v>
      </c>
      <c r="T119" s="26">
        <f t="shared" si="109"/>
        <v>135.8166666666667</v>
      </c>
      <c r="U119" s="26">
        <f>T119+ASC</f>
        <v>405.5666666666667</v>
      </c>
      <c r="V119" s="26">
        <f t="shared" si="110"/>
        <v>45.56666666666672</v>
      </c>
      <c r="W119" s="29"/>
      <c r="X119" s="26"/>
      <c r="Y119" s="26"/>
      <c r="Z119" s="26"/>
      <c r="AA119" s="29">
        <f>V119</f>
        <v>45.56666666666672</v>
      </c>
      <c r="AB119" s="19">
        <f t="shared" si="111"/>
        <v>15</v>
      </c>
      <c r="AC119">
        <f t="shared" si="112"/>
        <v>2</v>
      </c>
      <c r="AD119" t="str">
        <f t="shared" si="113"/>
        <v>TA</v>
      </c>
      <c r="AE119">
        <f t="shared" si="114"/>
        <v>34.00000000000318</v>
      </c>
      <c r="AF119" s="19"/>
    </row>
    <row r="120" spans="2:32" ht="12.75">
      <c r="B120" s="40"/>
      <c r="C120" s="7" t="s">
        <v>162</v>
      </c>
      <c r="D120" s="7" t="s">
        <v>9</v>
      </c>
      <c r="E120" s="7" t="s">
        <v>6</v>
      </c>
      <c r="F120" s="7" t="s">
        <v>12</v>
      </c>
      <c r="G120" s="9" t="s">
        <v>14</v>
      </c>
      <c r="H120" s="7" t="str">
        <f t="shared" si="102"/>
        <v>1VI54</v>
      </c>
      <c r="I120" s="20" t="str">
        <f t="shared" si="103"/>
        <v>28AR6</v>
      </c>
      <c r="K120">
        <f t="shared" si="104"/>
        <v>1</v>
      </c>
      <c r="L120" t="str">
        <f t="shared" si="105"/>
        <v>VI</v>
      </c>
      <c r="M120">
        <f t="shared" si="105"/>
        <v>53.999999999998636</v>
      </c>
      <c r="O120">
        <f t="shared" si="106"/>
        <v>28</v>
      </c>
      <c r="P120" t="str">
        <f t="shared" si="107"/>
        <v>AR</v>
      </c>
      <c r="Q120">
        <f t="shared" si="108"/>
        <v>6.000000000001364</v>
      </c>
      <c r="S120" s="29">
        <f>SUN-MA</f>
        <v>117.85</v>
      </c>
      <c r="T120" s="26">
        <f t="shared" si="109"/>
        <v>117.85</v>
      </c>
      <c r="U120" s="26">
        <f>T120+ASC</f>
        <v>387.6</v>
      </c>
      <c r="V120" s="26">
        <f t="shared" si="110"/>
        <v>27.600000000000023</v>
      </c>
      <c r="W120" s="29">
        <f>MA-SUN</f>
        <v>-117.85</v>
      </c>
      <c r="X120" s="26">
        <f>IF(W120&lt;0,W120+360,W120)</f>
        <v>242.15</v>
      </c>
      <c r="Y120" s="26">
        <f>X120+ASC</f>
        <v>511.9</v>
      </c>
      <c r="Z120" s="26">
        <f>IF(Y120&gt;360,Y120-360,Y120)</f>
        <v>151.89999999999998</v>
      </c>
      <c r="AA120" s="29">
        <f>IF(SECT="D",V120,Z120)</f>
        <v>151.89999999999998</v>
      </c>
      <c r="AB120" s="19">
        <f t="shared" si="111"/>
        <v>1</v>
      </c>
      <c r="AC120">
        <f t="shared" si="112"/>
        <v>6</v>
      </c>
      <c r="AD120" t="str">
        <f t="shared" si="113"/>
        <v>VI</v>
      </c>
      <c r="AE120">
        <f t="shared" si="114"/>
        <v>53.999999999998636</v>
      </c>
      <c r="AF120" s="19"/>
    </row>
    <row r="121" spans="2:32" ht="13.5" thickBot="1">
      <c r="B121" s="41"/>
      <c r="C121" s="22" t="s">
        <v>302</v>
      </c>
      <c r="D121" s="22" t="s">
        <v>50</v>
      </c>
      <c r="E121" s="22" t="s">
        <v>9</v>
      </c>
      <c r="F121" s="22" t="s">
        <v>12</v>
      </c>
      <c r="G121" s="42" t="s">
        <v>14</v>
      </c>
      <c r="H121" s="22" t="str">
        <f t="shared" si="102"/>
        <v>14TA23</v>
      </c>
      <c r="I121" s="23" t="str">
        <f t="shared" si="103"/>
        <v>15LE37</v>
      </c>
      <c r="K121">
        <f t="shared" si="104"/>
        <v>14</v>
      </c>
      <c r="L121" t="str">
        <f t="shared" si="105"/>
        <v>TA</v>
      </c>
      <c r="M121">
        <f t="shared" si="105"/>
        <v>22.999999999999545</v>
      </c>
      <c r="O121">
        <f t="shared" si="106"/>
        <v>15</v>
      </c>
      <c r="P121" t="str">
        <f t="shared" si="107"/>
        <v>LE</v>
      </c>
      <c r="Q121">
        <f t="shared" si="108"/>
        <v>37.000000000000455</v>
      </c>
      <c r="S121" s="34">
        <f>MA-ME</f>
        <v>-134.63333333333335</v>
      </c>
      <c r="T121" s="35">
        <f t="shared" si="109"/>
        <v>225.36666666666665</v>
      </c>
      <c r="U121" s="35">
        <f>T121+ASC</f>
        <v>495.1166666666667</v>
      </c>
      <c r="V121" s="35">
        <f t="shared" si="110"/>
        <v>135.11666666666667</v>
      </c>
      <c r="W121" s="34">
        <f>ME-MA</f>
        <v>134.63333333333335</v>
      </c>
      <c r="X121" s="35">
        <f>IF(W121&lt;0,W121+360,W121)</f>
        <v>134.63333333333335</v>
      </c>
      <c r="Y121" s="35">
        <f>X121+ASC</f>
        <v>404.3833333333333</v>
      </c>
      <c r="Z121" s="35">
        <f>IF(Y121&gt;360,Y121-360,Y121)</f>
        <v>44.383333333333326</v>
      </c>
      <c r="AA121" s="34">
        <f>IF(SECT="D",V121,Z121)</f>
        <v>44.383333333333326</v>
      </c>
      <c r="AB121" s="21">
        <f t="shared" si="111"/>
        <v>14</v>
      </c>
      <c r="AC121" s="22">
        <f t="shared" si="112"/>
        <v>2</v>
      </c>
      <c r="AD121" s="22" t="str">
        <f t="shared" si="113"/>
        <v>TA</v>
      </c>
      <c r="AE121" s="23">
        <f t="shared" si="114"/>
        <v>22.999999999999545</v>
      </c>
      <c r="AF121" s="19"/>
    </row>
    <row r="122" ht="13.5" thickTop="1"/>
    <row r="123" ht="12.75">
      <c r="C123" s="2" t="s">
        <v>882</v>
      </c>
    </row>
    <row r="124" ht="12.75">
      <c r="C124" s="2" t="s">
        <v>883</v>
      </c>
    </row>
    <row r="126" ht="12.75">
      <c r="C126" t="s">
        <v>23</v>
      </c>
    </row>
    <row r="128" spans="2:32" ht="12.75">
      <c r="B128" s="40"/>
      <c r="C128" s="7" t="s">
        <v>24</v>
      </c>
      <c r="D128" s="9" t="s">
        <v>797</v>
      </c>
      <c r="E128" s="7" t="s">
        <v>6</v>
      </c>
      <c r="F128" s="7" t="s">
        <v>12</v>
      </c>
      <c r="G128" s="9" t="s">
        <v>14</v>
      </c>
      <c r="H128" s="7" t="str">
        <f>CONCATENATE(TEXT(K128,0),L128,TEXT(M128,0))</f>
        <v>8LI3</v>
      </c>
      <c r="I128" s="20" t="str">
        <f>CONCATENATE(TEXT(O128,0),P128,TEXT(Q128,0))</f>
        <v>21PI57</v>
      </c>
      <c r="K128">
        <f>AB128</f>
        <v>8</v>
      </c>
      <c r="L128" t="str">
        <f aca="true" t="shared" si="115" ref="L128:M130">AD128</f>
        <v>LI</v>
      </c>
      <c r="M128">
        <f t="shared" si="115"/>
        <v>2.9999999999972715</v>
      </c>
      <c r="O128">
        <f>29-K128</f>
        <v>21</v>
      </c>
      <c r="P128" t="str">
        <f>VLOOKUP(AC128,SIGNS,4)</f>
        <v>PI</v>
      </c>
      <c r="Q128">
        <f>60-M128</f>
        <v>57.00000000000273</v>
      </c>
      <c r="S128" s="29">
        <f>SUN-POS</f>
        <v>81.69999999999999</v>
      </c>
      <c r="T128" s="26">
        <f>IF(S128&lt;0,S128+360,S128)</f>
        <v>81.69999999999999</v>
      </c>
      <c r="U128" s="26">
        <f>T128+ASC</f>
        <v>351.45</v>
      </c>
      <c r="V128" s="26">
        <f>IF(U128&gt;360,U128-360,U128)</f>
        <v>351.45</v>
      </c>
      <c r="W128" s="29">
        <f>POS-SUN</f>
        <v>-81.69999999999999</v>
      </c>
      <c r="X128" s="26">
        <f>IF(W128&lt;0,W128+360,W128)</f>
        <v>278.3</v>
      </c>
      <c r="Y128" s="26">
        <f>X128+ASC</f>
        <v>548.05</v>
      </c>
      <c r="Z128" s="26">
        <f>IF(Y128&gt;360,Y128-360,Y128)</f>
        <v>188.04999999999995</v>
      </c>
      <c r="AA128" s="29">
        <f>IF(SECT="D",V128,Z128)</f>
        <v>188.04999999999995</v>
      </c>
      <c r="AB128" s="19">
        <f>TRUNC(AA128)-VLOOKUP(AC128,SIGNS,3)</f>
        <v>8</v>
      </c>
      <c r="AC128">
        <f>TRUNC(AA128/30)+1</f>
        <v>7</v>
      </c>
      <c r="AD128" t="str">
        <f>VLOOKUP(AC128,SIGNS,2)</f>
        <v>LI</v>
      </c>
      <c r="AE128">
        <f>(AA128-TRUNC(AA128))*60</f>
        <v>2.9999999999972715</v>
      </c>
      <c r="AF128" s="19"/>
    </row>
    <row r="129" spans="3:31" ht="12.75">
      <c r="C129" s="66" t="s">
        <v>25</v>
      </c>
      <c r="D129" t="s">
        <v>6</v>
      </c>
      <c r="E129" t="s">
        <v>678</v>
      </c>
      <c r="F129" t="s">
        <v>12</v>
      </c>
      <c r="G129" s="2" t="s">
        <v>13</v>
      </c>
      <c r="H129" s="7" t="str">
        <f>CONCATENATE(TEXT(K129,0),L129,TEXT(M129,0))</f>
        <v>6TA11</v>
      </c>
      <c r="I129" s="20" t="str">
        <f>CONCATENATE(TEXT(O129,0),P129,TEXT(Q129,0))</f>
        <v>23LE49</v>
      </c>
      <c r="K129">
        <f>AB129</f>
        <v>6</v>
      </c>
      <c r="L129" t="str">
        <f t="shared" si="115"/>
        <v>TA</v>
      </c>
      <c r="M129">
        <f t="shared" si="115"/>
        <v>11.000000000000227</v>
      </c>
      <c r="O129">
        <f>29-K129</f>
        <v>23</v>
      </c>
      <c r="P129" t="str">
        <f>VLOOKUP(AC129,SIGNS,4)</f>
        <v>LE</v>
      </c>
      <c r="Q129">
        <f>60-M129</f>
        <v>48.99999999999977</v>
      </c>
      <c r="S129" s="29">
        <f>CUSP7-SUN</f>
        <v>-233.56666666666666</v>
      </c>
      <c r="T129" s="26">
        <f>IF(S129&lt;0,S129+360,S129)</f>
        <v>126.43333333333334</v>
      </c>
      <c r="U129" s="26">
        <f>T129+ASC</f>
        <v>396.18333333333334</v>
      </c>
      <c r="V129" s="26">
        <f>IF(U129&gt;360,U129-360,U129)</f>
        <v>36.18333333333334</v>
      </c>
      <c r="W129" s="29"/>
      <c r="X129" s="26"/>
      <c r="Y129" s="26"/>
      <c r="Z129" s="26"/>
      <c r="AA129" s="29">
        <f>V129</f>
        <v>36.18333333333334</v>
      </c>
      <c r="AB129" s="19">
        <f>TRUNC(AA129)-VLOOKUP(AC129,SIGNS,3)</f>
        <v>6</v>
      </c>
      <c r="AC129">
        <f>TRUNC(AA129/30)+1</f>
        <v>2</v>
      </c>
      <c r="AD129" t="str">
        <f>VLOOKUP(AC129,SIGNS,2)</f>
        <v>TA</v>
      </c>
      <c r="AE129">
        <f>(AA129-TRUNC(AA129))*60</f>
        <v>11.000000000000227</v>
      </c>
    </row>
    <row r="130" spans="3:31" ht="12.75">
      <c r="C130" s="66" t="s">
        <v>26</v>
      </c>
      <c r="D130" t="s">
        <v>9</v>
      </c>
      <c r="E130" t="s">
        <v>8</v>
      </c>
      <c r="F130" t="s">
        <v>27</v>
      </c>
      <c r="G130" s="2" t="s">
        <v>13</v>
      </c>
      <c r="H130" s="7" t="str">
        <f>CONCATENATE(TEXT(K130,0),L130,TEXT(M130,0))</f>
        <v>29PI28</v>
      </c>
      <c r="I130" s="20" t="str">
        <f>CONCATENATE(TEXT(O130,0),P130,TEXT(Q130,0))</f>
        <v>0LI32</v>
      </c>
      <c r="K130">
        <f>AB130</f>
        <v>29</v>
      </c>
      <c r="L130" t="str">
        <f t="shared" si="115"/>
        <v>PI</v>
      </c>
      <c r="M130">
        <f t="shared" si="115"/>
        <v>28.00000000000182</v>
      </c>
      <c r="O130">
        <f>29-K130</f>
        <v>0</v>
      </c>
      <c r="P130" t="str">
        <f>VLOOKUP(AC130,SIGNS,4)</f>
        <v>LI</v>
      </c>
      <c r="Q130">
        <f>60-M130</f>
        <v>31.99999999999818</v>
      </c>
      <c r="S130" s="29">
        <f>MOON-MA</f>
        <v>89.71666666666667</v>
      </c>
      <c r="T130" s="26">
        <f>IF(S130&lt;0,S130+360,S130)</f>
        <v>89.71666666666667</v>
      </c>
      <c r="U130" s="26">
        <f>T130+ASC</f>
        <v>359.4666666666667</v>
      </c>
      <c r="V130" s="26">
        <f>IF(U130&gt;360,U130-360,U130)</f>
        <v>359.4666666666667</v>
      </c>
      <c r="W130" s="29"/>
      <c r="X130" s="26"/>
      <c r="Y130" s="26"/>
      <c r="Z130" s="26"/>
      <c r="AA130" s="29">
        <f>V130</f>
        <v>359.4666666666667</v>
      </c>
      <c r="AB130" s="19">
        <f>TRUNC(AA130)-VLOOKUP(AC130,SIGNS,3)</f>
        <v>29</v>
      </c>
      <c r="AC130">
        <f>TRUNC(AA130/30)+1</f>
        <v>12</v>
      </c>
      <c r="AD130" t="str">
        <f>VLOOKUP(AC130,SIGNS,2)</f>
        <v>PI</v>
      </c>
      <c r="AE130">
        <f>(AA130-TRUNC(AA130))*60</f>
        <v>28.00000000000182</v>
      </c>
    </row>
  </sheetData>
  <sheetProtection/>
  <printOptions/>
  <pageMargins left="0.75" right="0.75" top="1" bottom="1" header="0.5" footer="0.5"/>
  <pageSetup fitToHeight="2" horizontalDpi="600" verticalDpi="600" orientation="portrait" scale="81" r:id="rId1"/>
  <headerFooter alignWithMargins="0">
    <oddFooter>&amp;C&amp;14www.regulus-astrology.com&amp;R&amp;D</oddFooter>
  </headerFooter>
  <rowBreaks count="1" manualBreakCount="1">
    <brk id="67" min="1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8"/>
  <sheetViews>
    <sheetView zoomScalePageLayoutView="0" workbookViewId="0" topLeftCell="A1">
      <selection activeCell="B2" sqref="B2"/>
    </sheetView>
  </sheetViews>
  <sheetFormatPr defaultColWidth="9.421875" defaultRowHeight="12.75"/>
  <cols>
    <col min="1" max="1" width="11.421875" style="2" bestFit="1" customWidth="1"/>
    <col min="2" max="2" width="70.421875" style="2" customWidth="1"/>
    <col min="3" max="16384" width="9.421875" style="2" customWidth="1"/>
  </cols>
  <sheetData>
    <row r="1" ht="13.5" thickBot="1"/>
    <row r="2" spans="1:2" ht="14.25" thickBot="1" thickTop="1">
      <c r="A2" s="12" t="s">
        <v>713</v>
      </c>
      <c r="B2" s="6" t="s">
        <v>708</v>
      </c>
    </row>
    <row r="3" ht="13.5" thickTop="1"/>
    <row r="4" spans="1:6" ht="12.75">
      <c r="A4" s="2" t="s">
        <v>305</v>
      </c>
      <c r="B4" s="2" t="s">
        <v>306</v>
      </c>
      <c r="C4" s="2" t="s">
        <v>6</v>
      </c>
      <c r="D4" s="2" t="s">
        <v>8</v>
      </c>
      <c r="E4" s="2" t="s">
        <v>12</v>
      </c>
      <c r="F4" s="2" t="s">
        <v>14</v>
      </c>
    </row>
    <row r="5" spans="1:6" ht="12.75">
      <c r="A5" s="2" t="s">
        <v>305</v>
      </c>
      <c r="B5" s="2" t="s">
        <v>307</v>
      </c>
      <c r="C5" s="2" t="s">
        <v>8</v>
      </c>
      <c r="D5" s="2" t="s">
        <v>6</v>
      </c>
      <c r="E5" s="2" t="s">
        <v>12</v>
      </c>
      <c r="F5" s="2" t="s">
        <v>14</v>
      </c>
    </row>
    <row r="6" spans="1:6" ht="12.75">
      <c r="A6" s="2" t="s">
        <v>305</v>
      </c>
      <c r="B6" s="2" t="s">
        <v>308</v>
      </c>
      <c r="C6" s="2" t="s">
        <v>8</v>
      </c>
      <c r="D6" s="2" t="s">
        <v>6</v>
      </c>
      <c r="E6" s="2" t="s">
        <v>12</v>
      </c>
      <c r="F6" s="2" t="s">
        <v>14</v>
      </c>
    </row>
    <row r="7" spans="1:6" ht="12.75">
      <c r="A7" s="2" t="s">
        <v>305</v>
      </c>
      <c r="B7" s="2" t="s">
        <v>309</v>
      </c>
      <c r="C7" s="2" t="s">
        <v>310</v>
      </c>
      <c r="D7" s="2" t="s">
        <v>311</v>
      </c>
      <c r="E7" s="2" t="s">
        <v>12</v>
      </c>
      <c r="F7" s="2" t="s">
        <v>14</v>
      </c>
    </row>
    <row r="8" spans="1:6" ht="12.75">
      <c r="A8" s="2" t="s">
        <v>305</v>
      </c>
      <c r="B8" s="2" t="s">
        <v>312</v>
      </c>
      <c r="C8" s="2" t="s">
        <v>310</v>
      </c>
      <c r="D8" s="2" t="s">
        <v>311</v>
      </c>
      <c r="E8" s="2" t="s">
        <v>12</v>
      </c>
      <c r="F8" s="2" t="s">
        <v>14</v>
      </c>
    </row>
    <row r="9" spans="1:6" ht="12.75">
      <c r="A9" s="2" t="s">
        <v>305</v>
      </c>
      <c r="B9" s="2" t="s">
        <v>314</v>
      </c>
      <c r="C9" s="2" t="s">
        <v>311</v>
      </c>
      <c r="D9" s="2" t="s">
        <v>310</v>
      </c>
      <c r="E9" s="2" t="s">
        <v>12</v>
      </c>
      <c r="F9" s="2" t="s">
        <v>14</v>
      </c>
    </row>
    <row r="10" spans="1:6" ht="12.75">
      <c r="A10" s="2" t="s">
        <v>305</v>
      </c>
      <c r="B10" s="2" t="s">
        <v>313</v>
      </c>
      <c r="C10" s="2" t="s">
        <v>9</v>
      </c>
      <c r="D10" s="2" t="s">
        <v>310</v>
      </c>
      <c r="E10" s="2" t="s">
        <v>12</v>
      </c>
      <c r="F10" s="2" t="s">
        <v>14</v>
      </c>
    </row>
    <row r="11" spans="1:6" ht="12.75">
      <c r="A11" s="2" t="s">
        <v>305</v>
      </c>
      <c r="B11" s="2" t="s">
        <v>315</v>
      </c>
      <c r="C11" s="2" t="s">
        <v>311</v>
      </c>
      <c r="D11" s="2" t="s">
        <v>10</v>
      </c>
      <c r="E11" s="2" t="s">
        <v>12</v>
      </c>
      <c r="F11" s="2" t="s">
        <v>14</v>
      </c>
    </row>
    <row r="12" spans="1:6" ht="12.75">
      <c r="A12" s="2" t="s">
        <v>305</v>
      </c>
      <c r="B12" s="2" t="s">
        <v>316</v>
      </c>
      <c r="C12" s="2" t="s">
        <v>5</v>
      </c>
      <c r="D12" s="2" t="s">
        <v>310</v>
      </c>
      <c r="E12" s="2" t="s">
        <v>12</v>
      </c>
      <c r="F12" s="2" t="s">
        <v>14</v>
      </c>
    </row>
    <row r="13" spans="1:6" ht="12.75">
      <c r="A13" s="2" t="s">
        <v>305</v>
      </c>
      <c r="B13" s="2" t="s">
        <v>317</v>
      </c>
      <c r="C13" s="2" t="s">
        <v>10</v>
      </c>
      <c r="D13" s="2" t="s">
        <v>5</v>
      </c>
      <c r="E13" s="2" t="s">
        <v>12</v>
      </c>
      <c r="F13" s="2" t="s">
        <v>14</v>
      </c>
    </row>
    <row r="14" spans="1:6" ht="12.75">
      <c r="A14" s="2" t="s">
        <v>305</v>
      </c>
      <c r="B14" s="2" t="s">
        <v>318</v>
      </c>
      <c r="C14" s="2" t="s">
        <v>319</v>
      </c>
      <c r="D14" s="2" t="s">
        <v>8</v>
      </c>
      <c r="E14" s="2" t="s">
        <v>12</v>
      </c>
      <c r="F14" s="2" t="s">
        <v>13</v>
      </c>
    </row>
    <row r="15" spans="1:6" ht="12.75">
      <c r="A15" s="2" t="s">
        <v>305</v>
      </c>
      <c r="B15" s="2" t="s">
        <v>320</v>
      </c>
      <c r="C15" s="2" t="s">
        <v>321</v>
      </c>
      <c r="D15" s="2" t="s">
        <v>322</v>
      </c>
      <c r="E15" s="2" t="s">
        <v>12</v>
      </c>
      <c r="F15" s="2" t="s">
        <v>13</v>
      </c>
    </row>
    <row r="16" spans="1:6" ht="12.75">
      <c r="A16" s="2" t="s">
        <v>305</v>
      </c>
      <c r="B16" s="2" t="s">
        <v>324</v>
      </c>
      <c r="C16" s="2" t="s">
        <v>5</v>
      </c>
      <c r="D16" s="2" t="s">
        <v>10</v>
      </c>
      <c r="E16" s="2" t="s">
        <v>12</v>
      </c>
      <c r="F16" s="2" t="s">
        <v>13</v>
      </c>
    </row>
    <row r="17" spans="1:6" ht="12.75">
      <c r="A17" s="2" t="s">
        <v>305</v>
      </c>
      <c r="B17" s="2" t="s">
        <v>325</v>
      </c>
      <c r="C17" s="2" t="s">
        <v>6</v>
      </c>
      <c r="D17" s="2" t="s">
        <v>262</v>
      </c>
      <c r="E17" s="2" t="s">
        <v>12</v>
      </c>
      <c r="F17" s="2" t="s">
        <v>14</v>
      </c>
    </row>
    <row r="18" spans="1:6" ht="12.75">
      <c r="A18" s="2" t="s">
        <v>305</v>
      </c>
      <c r="B18" s="2" t="s">
        <v>326</v>
      </c>
      <c r="C18" s="2" t="s">
        <v>6</v>
      </c>
      <c r="D18" s="2" t="s">
        <v>5</v>
      </c>
      <c r="E18" s="2" t="s">
        <v>12</v>
      </c>
      <c r="F18" s="2" t="s">
        <v>14</v>
      </c>
    </row>
    <row r="19" spans="1:6" ht="12.75">
      <c r="A19" s="2" t="s">
        <v>305</v>
      </c>
      <c r="B19" s="2" t="s">
        <v>327</v>
      </c>
      <c r="C19" s="2" t="s">
        <v>6</v>
      </c>
      <c r="D19" s="2" t="s">
        <v>5</v>
      </c>
      <c r="E19" s="2" t="s">
        <v>12</v>
      </c>
      <c r="F19" s="2" t="s">
        <v>14</v>
      </c>
    </row>
    <row r="20" spans="1:6" ht="12.75">
      <c r="A20" s="2" t="s">
        <v>305</v>
      </c>
      <c r="B20" s="2" t="s">
        <v>329</v>
      </c>
      <c r="C20" s="2" t="s">
        <v>328</v>
      </c>
      <c r="D20" s="2" t="s">
        <v>5</v>
      </c>
      <c r="E20" s="2" t="s">
        <v>12</v>
      </c>
      <c r="F20" s="2" t="s">
        <v>14</v>
      </c>
    </row>
    <row r="21" spans="1:6" ht="12.75">
      <c r="A21" s="2" t="s">
        <v>305</v>
      </c>
      <c r="B21" s="2" t="s">
        <v>330</v>
      </c>
      <c r="C21" s="2" t="s">
        <v>5</v>
      </c>
      <c r="D21" s="2" t="s">
        <v>8</v>
      </c>
      <c r="E21" s="2" t="s">
        <v>12</v>
      </c>
      <c r="F21" s="2" t="s">
        <v>13</v>
      </c>
    </row>
    <row r="22" spans="1:6" ht="12.75">
      <c r="A22" s="2" t="s">
        <v>305</v>
      </c>
      <c r="B22" s="2" t="s">
        <v>331</v>
      </c>
      <c r="C22" s="2" t="s">
        <v>5</v>
      </c>
      <c r="D22" s="2" t="s">
        <v>8</v>
      </c>
      <c r="E22" s="2" t="s">
        <v>12</v>
      </c>
      <c r="F22" s="2" t="s">
        <v>13</v>
      </c>
    </row>
    <row r="23" spans="1:6" ht="12.75">
      <c r="A23" s="2" t="s">
        <v>305</v>
      </c>
      <c r="B23" s="2" t="s">
        <v>332</v>
      </c>
      <c r="C23" s="2" t="s">
        <v>10</v>
      </c>
      <c r="D23" s="2" t="s">
        <v>5</v>
      </c>
      <c r="E23" s="2" t="s">
        <v>12</v>
      </c>
      <c r="F23" s="2" t="s">
        <v>14</v>
      </c>
    </row>
    <row r="24" spans="1:6" ht="12.75">
      <c r="A24" s="2" t="s">
        <v>305</v>
      </c>
      <c r="B24" s="2" t="s">
        <v>333</v>
      </c>
      <c r="C24" s="2" t="s">
        <v>10</v>
      </c>
      <c r="D24" s="2" t="s">
        <v>5</v>
      </c>
      <c r="E24" s="2" t="s">
        <v>12</v>
      </c>
      <c r="F24" s="2" t="s">
        <v>14</v>
      </c>
    </row>
    <row r="25" spans="1:6" ht="12.75">
      <c r="A25" s="2" t="s">
        <v>305</v>
      </c>
      <c r="B25" s="2" t="s">
        <v>334</v>
      </c>
      <c r="C25" s="2" t="s">
        <v>9</v>
      </c>
      <c r="D25" s="2" t="s">
        <v>10</v>
      </c>
      <c r="E25" s="2" t="s">
        <v>12</v>
      </c>
      <c r="F25" s="2" t="s">
        <v>13</v>
      </c>
    </row>
    <row r="26" spans="1:6" ht="12.75">
      <c r="A26" s="2" t="s">
        <v>305</v>
      </c>
      <c r="B26" s="2" t="s">
        <v>335</v>
      </c>
      <c r="C26" s="2" t="s">
        <v>8</v>
      </c>
      <c r="D26" s="2" t="s">
        <v>10</v>
      </c>
      <c r="E26" s="2" t="s">
        <v>12</v>
      </c>
      <c r="F26" s="2" t="s">
        <v>13</v>
      </c>
    </row>
    <row r="27" spans="1:6" ht="12.75">
      <c r="A27" s="2" t="s">
        <v>305</v>
      </c>
      <c r="B27" s="2" t="s">
        <v>336</v>
      </c>
      <c r="C27" s="2" t="s">
        <v>8</v>
      </c>
      <c r="D27" s="2" t="s">
        <v>7</v>
      </c>
      <c r="E27" s="2" t="s">
        <v>12</v>
      </c>
      <c r="F27" s="2" t="s">
        <v>13</v>
      </c>
    </row>
    <row r="28" spans="1:6" ht="12.75">
      <c r="A28" s="2" t="s">
        <v>305</v>
      </c>
      <c r="B28" s="2" t="s">
        <v>468</v>
      </c>
      <c r="C28" s="2" t="s">
        <v>337</v>
      </c>
      <c r="D28" s="2" t="s">
        <v>8</v>
      </c>
      <c r="E28" s="2" t="s">
        <v>12</v>
      </c>
      <c r="F28" s="2" t="s">
        <v>14</v>
      </c>
    </row>
    <row r="29" spans="1:6" ht="12.75">
      <c r="A29" s="2" t="s">
        <v>305</v>
      </c>
      <c r="B29" s="2" t="s">
        <v>338</v>
      </c>
      <c r="C29" s="2" t="s">
        <v>5</v>
      </c>
      <c r="D29" s="2" t="s">
        <v>9</v>
      </c>
      <c r="E29" s="2" t="s">
        <v>12</v>
      </c>
      <c r="F29" s="2" t="s">
        <v>14</v>
      </c>
    </row>
    <row r="30" spans="1:6" ht="12.75">
      <c r="A30" s="2" t="s">
        <v>305</v>
      </c>
      <c r="B30" s="2" t="s">
        <v>339</v>
      </c>
      <c r="C30" s="2" t="s">
        <v>50</v>
      </c>
      <c r="D30" s="2" t="s">
        <v>8</v>
      </c>
      <c r="E30" s="2" t="s">
        <v>12</v>
      </c>
      <c r="F30" s="2" t="s">
        <v>13</v>
      </c>
    </row>
    <row r="31" spans="1:6" ht="12.75">
      <c r="A31" s="2" t="s">
        <v>305</v>
      </c>
      <c r="B31" s="2" t="s">
        <v>340</v>
      </c>
      <c r="C31" s="2" t="s">
        <v>5</v>
      </c>
      <c r="D31" s="2" t="s">
        <v>7</v>
      </c>
      <c r="E31" s="2" t="s">
        <v>12</v>
      </c>
      <c r="F31" s="2" t="s">
        <v>13</v>
      </c>
    </row>
    <row r="32" spans="1:6" ht="12.75">
      <c r="A32" s="2" t="s">
        <v>305</v>
      </c>
      <c r="B32" s="2" t="s">
        <v>341</v>
      </c>
      <c r="C32" s="2" t="s">
        <v>6</v>
      </c>
      <c r="D32" s="2" t="s">
        <v>7</v>
      </c>
      <c r="E32" s="2" t="s">
        <v>12</v>
      </c>
      <c r="F32" s="2" t="s">
        <v>13</v>
      </c>
    </row>
    <row r="33" spans="1:6" ht="12.75">
      <c r="A33" s="2" t="s">
        <v>305</v>
      </c>
      <c r="B33" s="2" t="s">
        <v>342</v>
      </c>
      <c r="C33" s="2" t="s">
        <v>7</v>
      </c>
      <c r="D33" s="2" t="s">
        <v>5</v>
      </c>
      <c r="E33" s="2" t="s">
        <v>12</v>
      </c>
      <c r="F33" s="2" t="s">
        <v>13</v>
      </c>
    </row>
    <row r="34" spans="1:6" ht="12.75">
      <c r="A34" s="2" t="s">
        <v>305</v>
      </c>
      <c r="B34" s="2" t="s">
        <v>343</v>
      </c>
      <c r="C34" s="2" t="s">
        <v>7</v>
      </c>
      <c r="D34" s="2" t="s">
        <v>5</v>
      </c>
      <c r="E34" s="2" t="s">
        <v>12</v>
      </c>
      <c r="F34" s="2" t="s">
        <v>13</v>
      </c>
    </row>
    <row r="35" spans="1:6" ht="12.75">
      <c r="A35" s="2" t="s">
        <v>305</v>
      </c>
      <c r="B35" s="2" t="s">
        <v>344</v>
      </c>
      <c r="C35" s="2" t="s">
        <v>8</v>
      </c>
      <c r="D35" s="2" t="s">
        <v>9</v>
      </c>
      <c r="E35" s="2" t="s">
        <v>12</v>
      </c>
      <c r="F35" s="2" t="s">
        <v>13</v>
      </c>
    </row>
    <row r="36" spans="1:6" ht="12.75">
      <c r="A36" s="2" t="s">
        <v>305</v>
      </c>
      <c r="B36" s="2" t="s">
        <v>345</v>
      </c>
      <c r="C36" s="2" t="s">
        <v>6</v>
      </c>
      <c r="D36" s="2" t="s">
        <v>8</v>
      </c>
      <c r="E36" s="2" t="s">
        <v>12</v>
      </c>
      <c r="F36" s="2" t="s">
        <v>13</v>
      </c>
    </row>
    <row r="37" spans="1:6" ht="12.75">
      <c r="A37" s="2" t="s">
        <v>305</v>
      </c>
      <c r="B37" s="2" t="s">
        <v>346</v>
      </c>
      <c r="C37" s="2" t="s">
        <v>8</v>
      </c>
      <c r="D37" s="2" t="s">
        <v>267</v>
      </c>
      <c r="E37" s="2" t="s">
        <v>5</v>
      </c>
      <c r="F37" s="2" t="s">
        <v>13</v>
      </c>
    </row>
    <row r="38" spans="1:6" ht="12.75">
      <c r="A38" s="2" t="s">
        <v>305</v>
      </c>
      <c r="B38" s="2" t="s">
        <v>347</v>
      </c>
      <c r="C38" s="2" t="s">
        <v>371</v>
      </c>
      <c r="D38" s="2" t="s">
        <v>8</v>
      </c>
      <c r="E38" s="2" t="s">
        <v>12</v>
      </c>
      <c r="F38" s="2" t="s">
        <v>14</v>
      </c>
    </row>
    <row r="39" spans="1:6" ht="12.75">
      <c r="A39" s="2" t="s">
        <v>305</v>
      </c>
      <c r="B39" s="2" t="s">
        <v>350</v>
      </c>
      <c r="C39" s="2" t="s">
        <v>5</v>
      </c>
      <c r="D39" s="2" t="s">
        <v>348</v>
      </c>
      <c r="E39" s="2" t="s">
        <v>12</v>
      </c>
      <c r="F39" s="2" t="s">
        <v>13</v>
      </c>
    </row>
    <row r="40" spans="1:6" ht="12.75">
      <c r="A40" s="2" t="s">
        <v>305</v>
      </c>
      <c r="B40" s="2" t="s">
        <v>349</v>
      </c>
      <c r="C40" s="2" t="s">
        <v>5</v>
      </c>
      <c r="D40" s="2" t="s">
        <v>348</v>
      </c>
      <c r="E40" s="2" t="s">
        <v>12</v>
      </c>
      <c r="F40" s="2" t="s">
        <v>13</v>
      </c>
    </row>
    <row r="41" spans="1:6" ht="12.75">
      <c r="A41" s="2" t="s">
        <v>305</v>
      </c>
      <c r="B41" s="2" t="s">
        <v>351</v>
      </c>
      <c r="C41" s="2" t="s">
        <v>5</v>
      </c>
      <c r="D41" s="2" t="s">
        <v>9</v>
      </c>
      <c r="E41" s="2" t="s">
        <v>50</v>
      </c>
      <c r="F41" s="2" t="s">
        <v>14</v>
      </c>
    </row>
    <row r="42" spans="1:6" ht="12.75">
      <c r="A42" s="2" t="s">
        <v>305</v>
      </c>
      <c r="B42" s="2" t="s">
        <v>406</v>
      </c>
      <c r="C42" s="2" t="s">
        <v>5</v>
      </c>
      <c r="D42" s="2" t="s">
        <v>9</v>
      </c>
      <c r="E42" s="2" t="s">
        <v>12</v>
      </c>
      <c r="F42" s="2" t="s">
        <v>14</v>
      </c>
    </row>
    <row r="43" spans="1:6" ht="12.75">
      <c r="A43" s="2" t="s">
        <v>305</v>
      </c>
      <c r="B43" s="2" t="s">
        <v>352</v>
      </c>
      <c r="C43" s="2" t="s">
        <v>266</v>
      </c>
      <c r="D43" s="2" t="s">
        <v>268</v>
      </c>
      <c r="E43" s="2" t="s">
        <v>12</v>
      </c>
      <c r="F43" s="2" t="s">
        <v>13</v>
      </c>
    </row>
    <row r="44" spans="1:6" ht="12.75">
      <c r="A44" s="2" t="s">
        <v>305</v>
      </c>
      <c r="B44" s="2" t="s">
        <v>353</v>
      </c>
      <c r="C44" s="2" t="s">
        <v>5</v>
      </c>
      <c r="D44" s="2" t="s">
        <v>272</v>
      </c>
      <c r="E44" s="2" t="s">
        <v>12</v>
      </c>
      <c r="F44" s="2" t="s">
        <v>14</v>
      </c>
    </row>
    <row r="45" spans="1:6" ht="12.75">
      <c r="A45" s="2" t="s">
        <v>305</v>
      </c>
      <c r="B45" s="2" t="s">
        <v>354</v>
      </c>
      <c r="C45" s="2" t="s">
        <v>5</v>
      </c>
      <c r="D45" s="2" t="s">
        <v>8</v>
      </c>
      <c r="E45" s="2" t="s">
        <v>12</v>
      </c>
      <c r="F45" s="2" t="s">
        <v>14</v>
      </c>
    </row>
    <row r="46" spans="1:6" ht="12.75">
      <c r="A46" s="2" t="s">
        <v>305</v>
      </c>
      <c r="B46" s="2" t="s">
        <v>355</v>
      </c>
      <c r="C46" s="2" t="s">
        <v>50</v>
      </c>
      <c r="D46" s="2" t="s">
        <v>8</v>
      </c>
      <c r="E46" s="2" t="s">
        <v>12</v>
      </c>
      <c r="F46" s="2" t="s">
        <v>13</v>
      </c>
    </row>
    <row r="47" spans="1:6" ht="12.75">
      <c r="A47" s="2" t="s">
        <v>305</v>
      </c>
      <c r="B47" s="2" t="s">
        <v>356</v>
      </c>
      <c r="C47" s="2" t="s">
        <v>50</v>
      </c>
      <c r="D47" s="2" t="s">
        <v>8</v>
      </c>
      <c r="E47" s="2" t="s">
        <v>12</v>
      </c>
      <c r="F47" s="2" t="s">
        <v>13</v>
      </c>
    </row>
    <row r="48" spans="1:6" ht="12.75">
      <c r="A48" s="2" t="s">
        <v>305</v>
      </c>
      <c r="B48" s="2" t="s">
        <v>357</v>
      </c>
      <c r="C48" s="2" t="s">
        <v>358</v>
      </c>
      <c r="D48" s="2" t="s">
        <v>359</v>
      </c>
      <c r="E48" s="2" t="s">
        <v>12</v>
      </c>
      <c r="F48" s="2" t="s">
        <v>14</v>
      </c>
    </row>
    <row r="49" spans="1:6" ht="12.75">
      <c r="A49" s="2" t="s">
        <v>305</v>
      </c>
      <c r="B49" s="2" t="s">
        <v>360</v>
      </c>
      <c r="C49" s="2" t="s">
        <v>9</v>
      </c>
      <c r="D49" s="2" t="s">
        <v>8</v>
      </c>
      <c r="E49" s="2" t="s">
        <v>12</v>
      </c>
      <c r="F49" s="2" t="s">
        <v>14</v>
      </c>
    </row>
    <row r="50" spans="1:6" ht="12.75">
      <c r="A50" s="2" t="s">
        <v>305</v>
      </c>
      <c r="B50" s="2" t="s">
        <v>361</v>
      </c>
      <c r="C50" s="2" t="s">
        <v>5</v>
      </c>
      <c r="D50" s="2" t="s">
        <v>8</v>
      </c>
      <c r="E50" s="2" t="s">
        <v>12</v>
      </c>
      <c r="F50" s="2" t="s">
        <v>14</v>
      </c>
    </row>
    <row r="51" spans="1:6" ht="12.75">
      <c r="A51" s="2" t="s">
        <v>305</v>
      </c>
      <c r="B51" s="2" t="s">
        <v>362</v>
      </c>
      <c r="C51" s="2" t="s">
        <v>5</v>
      </c>
      <c r="D51" s="2" t="s">
        <v>8</v>
      </c>
      <c r="E51" s="2" t="s">
        <v>12</v>
      </c>
      <c r="F51" s="2" t="s">
        <v>14</v>
      </c>
    </row>
    <row r="52" spans="1:6" ht="12.75">
      <c r="A52" s="2" t="s">
        <v>305</v>
      </c>
      <c r="B52" s="2" t="s">
        <v>364</v>
      </c>
      <c r="C52" s="2" t="s">
        <v>7</v>
      </c>
      <c r="D52" s="2" t="s">
        <v>8</v>
      </c>
      <c r="E52" s="2" t="s">
        <v>12</v>
      </c>
      <c r="F52" s="2" t="s">
        <v>14</v>
      </c>
    </row>
    <row r="53" spans="1:6" ht="12.75">
      <c r="A53" s="2" t="s">
        <v>305</v>
      </c>
      <c r="B53" s="2" t="s">
        <v>363</v>
      </c>
      <c r="C53" s="2" t="s">
        <v>5</v>
      </c>
      <c r="D53" s="2" t="s">
        <v>7</v>
      </c>
      <c r="E53" s="2" t="s">
        <v>12</v>
      </c>
      <c r="F53" s="2" t="s">
        <v>14</v>
      </c>
    </row>
    <row r="54" spans="1:6" ht="12.75">
      <c r="A54" s="2" t="s">
        <v>305</v>
      </c>
      <c r="B54" s="2" t="s">
        <v>365</v>
      </c>
      <c r="C54" s="2" t="s">
        <v>8</v>
      </c>
      <c r="D54" s="2" t="s">
        <v>50</v>
      </c>
      <c r="E54" s="2" t="s">
        <v>12</v>
      </c>
      <c r="F54" s="2" t="s">
        <v>14</v>
      </c>
    </row>
    <row r="55" spans="1:6" ht="12.75">
      <c r="A55" s="2" t="s">
        <v>305</v>
      </c>
      <c r="B55" s="2" t="s">
        <v>366</v>
      </c>
      <c r="C55" s="2" t="s">
        <v>5</v>
      </c>
      <c r="D55" s="2" t="s">
        <v>9</v>
      </c>
      <c r="E55" s="2" t="s">
        <v>12</v>
      </c>
      <c r="F55" s="2" t="s">
        <v>13</v>
      </c>
    </row>
    <row r="56" spans="1:6" ht="12.75">
      <c r="A56" s="2" t="s">
        <v>305</v>
      </c>
      <c r="B56" s="2" t="s">
        <v>367</v>
      </c>
      <c r="C56" s="2" t="s">
        <v>368</v>
      </c>
      <c r="D56" s="2" t="s">
        <v>369</v>
      </c>
      <c r="E56" s="2" t="s">
        <v>12</v>
      </c>
      <c r="F56" s="2" t="s">
        <v>13</v>
      </c>
    </row>
    <row r="59" ht="12.75">
      <c r="B59" s="3"/>
    </row>
    <row r="61" ht="12.75">
      <c r="B61" s="3"/>
    </row>
    <row r="66" ht="12.75">
      <c r="B66" s="3"/>
    </row>
    <row r="68" ht="12.75">
      <c r="B68" s="3"/>
    </row>
  </sheetData>
  <sheetProtection/>
  <printOptions/>
  <pageMargins left="0.75" right="0.75" top="1" bottom="1" header="0.5" footer="0.5"/>
  <pageSetup fitToHeight="2" fitToWidth="1"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56"/>
  <sheetViews>
    <sheetView zoomScalePageLayoutView="0" workbookViewId="0" topLeftCell="A1">
      <selection activeCell="B2" sqref="B2"/>
    </sheetView>
  </sheetViews>
  <sheetFormatPr defaultColWidth="9.421875" defaultRowHeight="12.75"/>
  <cols>
    <col min="1" max="1" width="11.421875" style="2" bestFit="1" customWidth="1"/>
    <col min="2" max="2" width="70.421875" style="2" customWidth="1"/>
    <col min="3" max="16384" width="9.421875" style="2" customWidth="1"/>
  </cols>
  <sheetData>
    <row r="1" ht="13.5" thickBot="1"/>
    <row r="2" spans="1:2" ht="14.25" thickBot="1" thickTop="1">
      <c r="A2" s="12" t="s">
        <v>713</v>
      </c>
      <c r="B2" s="6" t="s">
        <v>714</v>
      </c>
    </row>
    <row r="3" ht="13.5" thickTop="1"/>
    <row r="4" spans="1:6" ht="12.75">
      <c r="A4" s="2" t="s">
        <v>305</v>
      </c>
      <c r="B4" s="2" t="s">
        <v>715</v>
      </c>
      <c r="C4" s="2" t="s">
        <v>6</v>
      </c>
      <c r="D4" s="2" t="s">
        <v>8</v>
      </c>
      <c r="E4" s="2" t="s">
        <v>12</v>
      </c>
      <c r="F4" s="2" t="s">
        <v>14</v>
      </c>
    </row>
    <row r="5" spans="1:6" ht="12.75">
      <c r="A5" s="2" t="s">
        <v>305</v>
      </c>
      <c r="B5" s="2" t="s">
        <v>755</v>
      </c>
      <c r="C5" s="2" t="s">
        <v>8</v>
      </c>
      <c r="D5" s="2" t="s">
        <v>6</v>
      </c>
      <c r="E5" s="2" t="s">
        <v>12</v>
      </c>
      <c r="F5" s="2" t="s">
        <v>14</v>
      </c>
    </row>
    <row r="6" spans="1:6" ht="12.75">
      <c r="A6" s="2" t="s">
        <v>305</v>
      </c>
      <c r="B6" s="2" t="s">
        <v>716</v>
      </c>
      <c r="C6" s="2" t="s">
        <v>310</v>
      </c>
      <c r="D6" s="2" t="s">
        <v>311</v>
      </c>
      <c r="E6" s="2" t="s">
        <v>12</v>
      </c>
      <c r="F6" s="2" t="s">
        <v>14</v>
      </c>
    </row>
    <row r="7" spans="1:6" ht="12.75">
      <c r="A7" s="2" t="s">
        <v>305</v>
      </c>
      <c r="B7" s="2" t="s">
        <v>717</v>
      </c>
      <c r="C7" s="2" t="s">
        <v>310</v>
      </c>
      <c r="D7" s="2" t="s">
        <v>311</v>
      </c>
      <c r="E7" s="2" t="s">
        <v>12</v>
      </c>
      <c r="F7" s="2" t="s">
        <v>14</v>
      </c>
    </row>
    <row r="8" spans="1:6" ht="12.75">
      <c r="A8" s="2" t="s">
        <v>305</v>
      </c>
      <c r="B8" s="2" t="s">
        <v>718</v>
      </c>
      <c r="C8" s="2" t="s">
        <v>311</v>
      </c>
      <c r="D8" s="2" t="s">
        <v>310</v>
      </c>
      <c r="E8" s="2" t="s">
        <v>12</v>
      </c>
      <c r="F8" s="2" t="s">
        <v>14</v>
      </c>
    </row>
    <row r="9" spans="1:6" ht="12.75">
      <c r="A9" s="2" t="s">
        <v>305</v>
      </c>
      <c r="B9" s="2" t="s">
        <v>719</v>
      </c>
      <c r="C9" s="2" t="s">
        <v>9</v>
      </c>
      <c r="D9" s="2" t="s">
        <v>310</v>
      </c>
      <c r="E9" s="2" t="s">
        <v>12</v>
      </c>
      <c r="F9" s="2" t="s">
        <v>14</v>
      </c>
    </row>
    <row r="10" spans="1:6" ht="12.75">
      <c r="A10" s="2" t="s">
        <v>305</v>
      </c>
      <c r="B10" s="2" t="s">
        <v>720</v>
      </c>
      <c r="C10" s="2" t="s">
        <v>319</v>
      </c>
      <c r="D10" s="2" t="s">
        <v>8</v>
      </c>
      <c r="E10" s="2" t="s">
        <v>12</v>
      </c>
      <c r="F10" s="2" t="s">
        <v>13</v>
      </c>
    </row>
    <row r="11" spans="1:6" ht="12.75">
      <c r="A11" s="2" t="s">
        <v>305</v>
      </c>
      <c r="B11" s="2" t="s">
        <v>721</v>
      </c>
      <c r="C11" s="2" t="s">
        <v>321</v>
      </c>
      <c r="D11" s="2" t="s">
        <v>322</v>
      </c>
      <c r="E11" s="2" t="s">
        <v>12</v>
      </c>
      <c r="F11" s="2" t="s">
        <v>13</v>
      </c>
    </row>
    <row r="12" spans="1:6" ht="12.75">
      <c r="A12" s="2" t="s">
        <v>305</v>
      </c>
      <c r="B12" s="2" t="s">
        <v>722</v>
      </c>
      <c r="C12" s="2" t="s">
        <v>6</v>
      </c>
      <c r="D12" s="2" t="s">
        <v>262</v>
      </c>
      <c r="E12" s="2" t="s">
        <v>12</v>
      </c>
      <c r="F12" s="2" t="s">
        <v>14</v>
      </c>
    </row>
    <row r="13" spans="1:6" ht="12.75">
      <c r="A13" s="2" t="s">
        <v>305</v>
      </c>
      <c r="B13" s="2" t="s">
        <v>723</v>
      </c>
      <c r="C13" s="2" t="s">
        <v>6</v>
      </c>
      <c r="D13" s="2" t="s">
        <v>5</v>
      </c>
      <c r="E13" s="2" t="s">
        <v>12</v>
      </c>
      <c r="F13" s="2" t="s">
        <v>14</v>
      </c>
    </row>
    <row r="14" spans="1:6" ht="12.75">
      <c r="A14" s="2" t="s">
        <v>305</v>
      </c>
      <c r="B14" s="2" t="s">
        <v>724</v>
      </c>
      <c r="C14" s="2" t="s">
        <v>328</v>
      </c>
      <c r="D14" s="2" t="s">
        <v>5</v>
      </c>
      <c r="E14" s="2" t="s">
        <v>12</v>
      </c>
      <c r="F14" s="2" t="s">
        <v>14</v>
      </c>
    </row>
    <row r="15" spans="1:6" ht="12.75">
      <c r="A15" s="2" t="s">
        <v>305</v>
      </c>
      <c r="B15" s="2" t="s">
        <v>725</v>
      </c>
      <c r="C15" s="2" t="s">
        <v>5</v>
      </c>
      <c r="D15" s="2" t="s">
        <v>8</v>
      </c>
      <c r="E15" s="2" t="s">
        <v>12</v>
      </c>
      <c r="F15" s="2" t="s">
        <v>13</v>
      </c>
    </row>
    <row r="16" spans="1:6" ht="12.75">
      <c r="A16" s="2" t="s">
        <v>305</v>
      </c>
      <c r="B16" s="2" t="s">
        <v>726</v>
      </c>
      <c r="C16" s="2" t="s">
        <v>6</v>
      </c>
      <c r="D16" s="2" t="s">
        <v>5</v>
      </c>
      <c r="E16" s="2" t="s">
        <v>12</v>
      </c>
      <c r="F16" s="2" t="s">
        <v>14</v>
      </c>
    </row>
    <row r="17" spans="1:6" ht="12.75">
      <c r="A17" s="2" t="s">
        <v>305</v>
      </c>
      <c r="B17" s="2" t="s">
        <v>727</v>
      </c>
      <c r="C17" s="2" t="s">
        <v>6</v>
      </c>
      <c r="D17" s="2" t="s">
        <v>5</v>
      </c>
      <c r="E17" s="2" t="s">
        <v>12</v>
      </c>
      <c r="F17" s="2" t="s">
        <v>14</v>
      </c>
    </row>
    <row r="18" spans="1:6" ht="12.75">
      <c r="A18" s="2" t="s">
        <v>305</v>
      </c>
      <c r="B18" s="2" t="s">
        <v>728</v>
      </c>
      <c r="C18" s="2" t="s">
        <v>9</v>
      </c>
      <c r="D18" s="2" t="s">
        <v>6</v>
      </c>
      <c r="E18" s="2" t="s">
        <v>12</v>
      </c>
      <c r="F18" s="2" t="s">
        <v>13</v>
      </c>
    </row>
    <row r="19" spans="1:6" ht="12.75">
      <c r="A19" s="2" t="s">
        <v>305</v>
      </c>
      <c r="B19" s="2" t="s">
        <v>729</v>
      </c>
      <c r="C19" s="2" t="s">
        <v>8</v>
      </c>
      <c r="D19" s="2" t="s">
        <v>5</v>
      </c>
      <c r="E19" s="2" t="s">
        <v>12</v>
      </c>
      <c r="F19" s="2" t="s">
        <v>13</v>
      </c>
    </row>
    <row r="20" spans="1:6" ht="12.75">
      <c r="A20" s="2" t="s">
        <v>305</v>
      </c>
      <c r="B20" s="2" t="s">
        <v>730</v>
      </c>
      <c r="C20" s="2" t="s">
        <v>8</v>
      </c>
      <c r="D20" s="2" t="s">
        <v>7</v>
      </c>
      <c r="E20" s="2" t="s">
        <v>12</v>
      </c>
      <c r="F20" s="2" t="s">
        <v>13</v>
      </c>
    </row>
    <row r="21" spans="1:6" ht="12.75">
      <c r="A21" s="2" t="s">
        <v>305</v>
      </c>
      <c r="B21" s="2" t="s">
        <v>731</v>
      </c>
      <c r="C21" s="2" t="s">
        <v>337</v>
      </c>
      <c r="D21" s="2" t="s">
        <v>8</v>
      </c>
      <c r="E21" s="2" t="s">
        <v>12</v>
      </c>
      <c r="F21" s="2" t="s">
        <v>14</v>
      </c>
    </row>
    <row r="22" spans="1:6" ht="12.75">
      <c r="A22" s="2" t="s">
        <v>305</v>
      </c>
      <c r="B22" s="2" t="s">
        <v>733</v>
      </c>
      <c r="C22" s="2" t="s">
        <v>5</v>
      </c>
      <c r="D22" s="2" t="s">
        <v>9</v>
      </c>
      <c r="E22" s="2" t="s">
        <v>12</v>
      </c>
      <c r="F22" s="2" t="s">
        <v>14</v>
      </c>
    </row>
    <row r="23" spans="1:6" ht="12.75">
      <c r="A23" s="2" t="s">
        <v>305</v>
      </c>
      <c r="B23" s="2" t="s">
        <v>732</v>
      </c>
      <c r="C23" s="2" t="s">
        <v>50</v>
      </c>
      <c r="D23" s="2" t="s">
        <v>8</v>
      </c>
      <c r="E23" s="2" t="s">
        <v>12</v>
      </c>
      <c r="F23" s="2" t="s">
        <v>13</v>
      </c>
    </row>
    <row r="24" spans="1:6" ht="12.75">
      <c r="A24" s="2" t="s">
        <v>305</v>
      </c>
      <c r="B24" s="2" t="s">
        <v>734</v>
      </c>
      <c r="C24" s="2" t="s">
        <v>5</v>
      </c>
      <c r="D24" s="2" t="s">
        <v>7</v>
      </c>
      <c r="E24" s="2" t="s">
        <v>12</v>
      </c>
      <c r="F24" s="2" t="s">
        <v>13</v>
      </c>
    </row>
    <row r="25" spans="1:6" ht="12.75">
      <c r="A25" s="2" t="s">
        <v>305</v>
      </c>
      <c r="B25" s="2" t="s">
        <v>735</v>
      </c>
      <c r="C25" s="2" t="s">
        <v>6</v>
      </c>
      <c r="D25" s="2" t="s">
        <v>7</v>
      </c>
      <c r="E25" s="2" t="s">
        <v>12</v>
      </c>
      <c r="F25" s="2" t="s">
        <v>13</v>
      </c>
    </row>
    <row r="26" spans="1:6" ht="12.75">
      <c r="A26" s="2" t="s">
        <v>305</v>
      </c>
      <c r="B26" s="2" t="s">
        <v>739</v>
      </c>
      <c r="C26" s="2" t="s">
        <v>7</v>
      </c>
      <c r="D26" s="2" t="s">
        <v>5</v>
      </c>
      <c r="E26" s="2" t="s">
        <v>12</v>
      </c>
      <c r="F26" s="2" t="s">
        <v>13</v>
      </c>
    </row>
    <row r="27" spans="1:6" ht="12.75">
      <c r="A27" s="2" t="s">
        <v>305</v>
      </c>
      <c r="B27" s="2" t="s">
        <v>740</v>
      </c>
      <c r="C27" s="2" t="s">
        <v>8</v>
      </c>
      <c r="D27" s="2" t="s">
        <v>9</v>
      </c>
      <c r="E27" s="2" t="s">
        <v>12</v>
      </c>
      <c r="F27" s="2" t="s">
        <v>13</v>
      </c>
    </row>
    <row r="28" spans="1:6" ht="12.75">
      <c r="A28" s="2" t="s">
        <v>305</v>
      </c>
      <c r="B28" s="2" t="s">
        <v>736</v>
      </c>
      <c r="C28" s="2" t="s">
        <v>8</v>
      </c>
      <c r="D28" s="2" t="s">
        <v>267</v>
      </c>
      <c r="E28" s="2" t="s">
        <v>5</v>
      </c>
      <c r="F28" s="2" t="s">
        <v>13</v>
      </c>
    </row>
    <row r="29" spans="1:6" ht="12.75">
      <c r="A29" s="2" t="s">
        <v>305</v>
      </c>
      <c r="B29" s="2" t="s">
        <v>741</v>
      </c>
      <c r="C29" s="2" t="s">
        <v>371</v>
      </c>
      <c r="D29" s="2" t="s">
        <v>8</v>
      </c>
      <c r="E29" s="2" t="s">
        <v>12</v>
      </c>
      <c r="F29" s="2" t="s">
        <v>14</v>
      </c>
    </row>
    <row r="30" spans="1:6" ht="12.75">
      <c r="A30" s="2" t="s">
        <v>305</v>
      </c>
      <c r="B30" s="2" t="s">
        <v>742</v>
      </c>
      <c r="C30" s="2" t="s">
        <v>5</v>
      </c>
      <c r="D30" s="2" t="s">
        <v>348</v>
      </c>
      <c r="E30" s="2" t="s">
        <v>12</v>
      </c>
      <c r="F30" s="2" t="s">
        <v>13</v>
      </c>
    </row>
    <row r="31" spans="1:6" ht="12.75">
      <c r="A31" s="2" t="s">
        <v>305</v>
      </c>
      <c r="B31" s="2" t="s">
        <v>743</v>
      </c>
      <c r="C31" s="2" t="s">
        <v>5</v>
      </c>
      <c r="D31" s="2" t="s">
        <v>348</v>
      </c>
      <c r="E31" s="2" t="s">
        <v>12</v>
      </c>
      <c r="F31" s="2" t="s">
        <v>13</v>
      </c>
    </row>
    <row r="32" spans="1:6" ht="12.75">
      <c r="A32" s="2" t="s">
        <v>305</v>
      </c>
      <c r="B32" s="2" t="s">
        <v>744</v>
      </c>
      <c r="C32" s="2" t="s">
        <v>5</v>
      </c>
      <c r="D32" s="2" t="s">
        <v>9</v>
      </c>
      <c r="E32" s="2" t="s">
        <v>12</v>
      </c>
      <c r="F32" s="2" t="s">
        <v>14</v>
      </c>
    </row>
    <row r="33" spans="1:6" ht="12.75">
      <c r="A33" s="2" t="s">
        <v>305</v>
      </c>
      <c r="B33" s="2" t="s">
        <v>737</v>
      </c>
      <c r="C33" s="2" t="s">
        <v>266</v>
      </c>
      <c r="D33" s="2" t="s">
        <v>268</v>
      </c>
      <c r="E33" s="2" t="s">
        <v>12</v>
      </c>
      <c r="F33" s="2" t="s">
        <v>13</v>
      </c>
    </row>
    <row r="34" spans="1:6" ht="12.75">
      <c r="A34" s="2" t="s">
        <v>305</v>
      </c>
      <c r="B34" s="2" t="s">
        <v>745</v>
      </c>
      <c r="C34" s="2" t="s">
        <v>5</v>
      </c>
      <c r="D34" s="2" t="s">
        <v>272</v>
      </c>
      <c r="E34" s="2" t="s">
        <v>12</v>
      </c>
      <c r="F34" s="2" t="s">
        <v>14</v>
      </c>
    </row>
    <row r="35" spans="1:6" ht="12.75">
      <c r="A35" s="2" t="s">
        <v>305</v>
      </c>
      <c r="B35" s="2" t="s">
        <v>746</v>
      </c>
      <c r="C35" s="2" t="s">
        <v>5</v>
      </c>
      <c r="D35" s="2" t="s">
        <v>8</v>
      </c>
      <c r="E35" s="2" t="s">
        <v>12</v>
      </c>
      <c r="F35" s="2" t="s">
        <v>14</v>
      </c>
    </row>
    <row r="36" spans="1:6" ht="12.75">
      <c r="A36" s="2" t="s">
        <v>305</v>
      </c>
      <c r="B36" s="2" t="s">
        <v>747</v>
      </c>
      <c r="C36" s="2" t="s">
        <v>50</v>
      </c>
      <c r="D36" s="2" t="s">
        <v>8</v>
      </c>
      <c r="E36" s="2" t="s">
        <v>12</v>
      </c>
      <c r="F36" s="2" t="s">
        <v>13</v>
      </c>
    </row>
    <row r="37" spans="1:6" ht="12.75">
      <c r="A37" s="2" t="s">
        <v>305</v>
      </c>
      <c r="B37" s="2" t="s">
        <v>748</v>
      </c>
      <c r="C37" s="2" t="s">
        <v>50</v>
      </c>
      <c r="D37" s="2" t="s">
        <v>8</v>
      </c>
      <c r="E37" s="2" t="s">
        <v>12</v>
      </c>
      <c r="F37" s="2" t="s">
        <v>13</v>
      </c>
    </row>
    <row r="38" spans="1:6" ht="12.75">
      <c r="A38" s="2" t="s">
        <v>305</v>
      </c>
      <c r="B38" s="2" t="s">
        <v>749</v>
      </c>
      <c r="C38" s="2" t="s">
        <v>358</v>
      </c>
      <c r="D38" s="2" t="s">
        <v>359</v>
      </c>
      <c r="E38" s="2" t="s">
        <v>12</v>
      </c>
      <c r="F38" s="2" t="s">
        <v>14</v>
      </c>
    </row>
    <row r="39" spans="1:6" ht="12.75">
      <c r="A39" s="2" t="s">
        <v>305</v>
      </c>
      <c r="B39" s="2" t="s">
        <v>750</v>
      </c>
      <c r="C39" s="2" t="s">
        <v>9</v>
      </c>
      <c r="D39" s="2" t="s">
        <v>8</v>
      </c>
      <c r="E39" s="2" t="s">
        <v>12</v>
      </c>
      <c r="F39" s="2" t="s">
        <v>14</v>
      </c>
    </row>
    <row r="40" spans="1:6" ht="12.75">
      <c r="A40" s="2" t="s">
        <v>305</v>
      </c>
      <c r="B40" s="2" t="s">
        <v>751</v>
      </c>
      <c r="C40" s="2" t="s">
        <v>5</v>
      </c>
      <c r="D40" s="2" t="s">
        <v>8</v>
      </c>
      <c r="E40" s="2" t="s">
        <v>12</v>
      </c>
      <c r="F40" s="2" t="s">
        <v>14</v>
      </c>
    </row>
    <row r="41" spans="1:6" ht="12.75">
      <c r="A41" s="2" t="s">
        <v>305</v>
      </c>
      <c r="B41" s="2" t="s">
        <v>752</v>
      </c>
      <c r="C41" s="2" t="s">
        <v>7</v>
      </c>
      <c r="D41" s="2" t="s">
        <v>8</v>
      </c>
      <c r="E41" s="2" t="s">
        <v>12</v>
      </c>
      <c r="F41" s="2" t="s">
        <v>14</v>
      </c>
    </row>
    <row r="42" spans="1:6" ht="12.75">
      <c r="A42" s="2" t="s">
        <v>305</v>
      </c>
      <c r="B42" s="2" t="s">
        <v>738</v>
      </c>
      <c r="C42" s="2" t="s">
        <v>5</v>
      </c>
      <c r="D42" s="2" t="s">
        <v>9</v>
      </c>
      <c r="E42" s="2" t="s">
        <v>12</v>
      </c>
      <c r="F42" s="2" t="s">
        <v>13</v>
      </c>
    </row>
    <row r="43" spans="1:6" ht="12.75">
      <c r="A43" s="2" t="s">
        <v>305</v>
      </c>
      <c r="B43" s="2" t="s">
        <v>753</v>
      </c>
      <c r="C43" s="2" t="s">
        <v>8</v>
      </c>
      <c r="D43" s="2" t="s">
        <v>50</v>
      </c>
      <c r="E43" s="2" t="s">
        <v>12</v>
      </c>
      <c r="F43" s="2" t="s">
        <v>14</v>
      </c>
    </row>
    <row r="44" spans="1:6" ht="12.75">
      <c r="A44" s="2" t="s">
        <v>305</v>
      </c>
      <c r="B44" s="2" t="s">
        <v>754</v>
      </c>
      <c r="C44" s="2" t="s">
        <v>368</v>
      </c>
      <c r="D44" s="2" t="s">
        <v>369</v>
      </c>
      <c r="E44" s="2" t="s">
        <v>12</v>
      </c>
      <c r="F44" s="2" t="s">
        <v>13</v>
      </c>
    </row>
    <row r="47" ht="12.75">
      <c r="B47" s="3"/>
    </row>
    <row r="49" ht="12.75">
      <c r="B49" s="3"/>
    </row>
    <row r="54" ht="12.75">
      <c r="B54" s="3"/>
    </row>
    <row r="56" ht="12.75">
      <c r="B56" s="3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.28125" style="2" bestFit="1" customWidth="1"/>
    <col min="2" max="2" width="9.140625" style="2" customWidth="1"/>
    <col min="3" max="3" width="73.8515625" style="2" customWidth="1"/>
    <col min="4" max="7" width="9.140625" style="2" customWidth="1"/>
    <col min="8" max="8" width="8.00390625" style="2" customWidth="1"/>
    <col min="9" max="16384" width="9.140625" style="2" customWidth="1"/>
  </cols>
  <sheetData>
    <row r="1" ht="13.5" thickBot="1"/>
    <row r="2" spans="1:7" ht="14.25" thickBot="1" thickTop="1">
      <c r="A2" s="6" t="s">
        <v>646</v>
      </c>
      <c r="G2" s="12"/>
    </row>
    <row r="3" ht="13.5" thickTop="1"/>
    <row r="4" spans="1:7" ht="12.75">
      <c r="A4" s="2">
        <v>1</v>
      </c>
      <c r="B4" s="2" t="s">
        <v>698</v>
      </c>
      <c r="C4" s="2" t="s">
        <v>647</v>
      </c>
      <c r="D4" s="2" t="s">
        <v>6</v>
      </c>
      <c r="E4" s="2" t="s">
        <v>8</v>
      </c>
      <c r="F4" s="2" t="s">
        <v>12</v>
      </c>
      <c r="G4" s="2" t="s">
        <v>648</v>
      </c>
    </row>
    <row r="5" spans="1:7" ht="12.75">
      <c r="A5" s="2">
        <v>1</v>
      </c>
      <c r="B5" s="2" t="s">
        <v>698</v>
      </c>
      <c r="C5" s="2" t="s">
        <v>386</v>
      </c>
      <c r="D5" s="2" t="s">
        <v>10</v>
      </c>
      <c r="E5" s="2" t="s">
        <v>5</v>
      </c>
      <c r="F5" s="2" t="s">
        <v>12</v>
      </c>
      <c r="G5" s="2" t="s">
        <v>288</v>
      </c>
    </row>
    <row r="6" spans="1:7" ht="12.75">
      <c r="A6" s="2">
        <v>1</v>
      </c>
      <c r="B6" s="2" t="s">
        <v>698</v>
      </c>
      <c r="C6" s="2" t="s">
        <v>649</v>
      </c>
      <c r="D6" s="2" t="s">
        <v>319</v>
      </c>
      <c r="E6" s="2" t="s">
        <v>8</v>
      </c>
      <c r="F6" s="2" t="s">
        <v>12</v>
      </c>
      <c r="G6" s="10" t="s">
        <v>650</v>
      </c>
    </row>
    <row r="7" spans="1:7" ht="12.75">
      <c r="A7" s="2">
        <v>1</v>
      </c>
      <c r="B7" s="2" t="s">
        <v>698</v>
      </c>
      <c r="C7" s="2" t="s">
        <v>651</v>
      </c>
      <c r="D7" s="2" t="s">
        <v>8</v>
      </c>
      <c r="E7" s="2" t="s">
        <v>6</v>
      </c>
      <c r="F7" s="10" t="s">
        <v>12</v>
      </c>
      <c r="G7" s="10" t="s">
        <v>288</v>
      </c>
    </row>
    <row r="8" spans="1:7" ht="12.75">
      <c r="A8" s="2">
        <v>1</v>
      </c>
      <c r="B8" s="2" t="s">
        <v>698</v>
      </c>
      <c r="C8" s="2" t="s">
        <v>652</v>
      </c>
      <c r="D8" s="2" t="s">
        <v>415</v>
      </c>
      <c r="E8" s="2" t="s">
        <v>653</v>
      </c>
      <c r="F8" s="10" t="s">
        <v>12</v>
      </c>
      <c r="G8" s="10" t="s">
        <v>288</v>
      </c>
    </row>
    <row r="9" spans="1:3" ht="12.75">
      <c r="A9" s="2">
        <v>1</v>
      </c>
      <c r="B9" s="2" t="s">
        <v>698</v>
      </c>
      <c r="C9" s="2" t="s">
        <v>654</v>
      </c>
    </row>
    <row r="10" spans="1:7" ht="12.75">
      <c r="A10" s="2">
        <v>1</v>
      </c>
      <c r="B10" s="2" t="s">
        <v>698</v>
      </c>
      <c r="C10" s="2" t="s">
        <v>655</v>
      </c>
      <c r="D10" s="2" t="s">
        <v>9</v>
      </c>
      <c r="E10" s="2" t="s">
        <v>415</v>
      </c>
      <c r="F10" s="2" t="s">
        <v>12</v>
      </c>
      <c r="G10" s="2" t="s">
        <v>288</v>
      </c>
    </row>
    <row r="11" spans="1:7" ht="12.75">
      <c r="A11" s="2">
        <v>2</v>
      </c>
      <c r="B11" s="2" t="s">
        <v>698</v>
      </c>
      <c r="C11" s="2" t="s">
        <v>656</v>
      </c>
      <c r="D11" s="2" t="s">
        <v>657</v>
      </c>
      <c r="E11" s="2" t="s">
        <v>322</v>
      </c>
      <c r="F11" s="2" t="s">
        <v>12</v>
      </c>
      <c r="G11" s="2" t="s">
        <v>650</v>
      </c>
    </row>
    <row r="12" spans="1:7" ht="12.75">
      <c r="A12" s="2">
        <v>2</v>
      </c>
      <c r="B12" s="2" t="s">
        <v>698</v>
      </c>
      <c r="C12" s="2" t="s">
        <v>658</v>
      </c>
      <c r="D12" s="2" t="s">
        <v>653</v>
      </c>
      <c r="E12" s="2" t="s">
        <v>415</v>
      </c>
      <c r="F12" s="2" t="s">
        <v>12</v>
      </c>
      <c r="G12" s="2" t="s">
        <v>288</v>
      </c>
    </row>
    <row r="13" spans="1:7" ht="12.75">
      <c r="A13" s="2">
        <v>2</v>
      </c>
      <c r="B13" s="2" t="s">
        <v>698</v>
      </c>
      <c r="C13" s="2" t="s">
        <v>659</v>
      </c>
      <c r="D13" s="2" t="s">
        <v>653</v>
      </c>
      <c r="E13" s="2" t="s">
        <v>10</v>
      </c>
      <c r="F13" s="2" t="s">
        <v>12</v>
      </c>
      <c r="G13" s="2" t="s">
        <v>288</v>
      </c>
    </row>
    <row r="14" spans="1:7" ht="12.75">
      <c r="A14" s="2">
        <v>3</v>
      </c>
      <c r="B14" s="2" t="s">
        <v>698</v>
      </c>
      <c r="C14" s="2" t="s">
        <v>568</v>
      </c>
      <c r="D14" s="2" t="s">
        <v>5</v>
      </c>
      <c r="E14" s="2" t="s">
        <v>10</v>
      </c>
      <c r="F14" s="2" t="s">
        <v>12</v>
      </c>
      <c r="G14" s="2" t="s">
        <v>650</v>
      </c>
    </row>
    <row r="15" spans="1:7" ht="12.75">
      <c r="A15" s="2">
        <v>3</v>
      </c>
      <c r="B15" s="2" t="s">
        <v>698</v>
      </c>
      <c r="C15" s="2" t="s">
        <v>660</v>
      </c>
      <c r="D15" s="2" t="s">
        <v>6</v>
      </c>
      <c r="E15" s="2" t="s">
        <v>5</v>
      </c>
      <c r="F15" s="2" t="s">
        <v>12</v>
      </c>
      <c r="G15" s="2" t="s">
        <v>288</v>
      </c>
    </row>
    <row r="16" spans="1:7" ht="12.75">
      <c r="A16" s="2">
        <v>4</v>
      </c>
      <c r="B16" s="2" t="s">
        <v>698</v>
      </c>
      <c r="C16" s="2" t="s">
        <v>661</v>
      </c>
      <c r="D16" s="2" t="s">
        <v>6</v>
      </c>
      <c r="E16" s="2" t="s">
        <v>5</v>
      </c>
      <c r="F16" s="2" t="s">
        <v>12</v>
      </c>
      <c r="G16" s="2" t="s">
        <v>288</v>
      </c>
    </row>
    <row r="17" spans="1:7" ht="12.75">
      <c r="A17" s="2">
        <v>4</v>
      </c>
      <c r="B17" s="2" t="s">
        <v>698</v>
      </c>
      <c r="C17" s="2" t="s">
        <v>662</v>
      </c>
      <c r="D17" s="2" t="s">
        <v>5</v>
      </c>
      <c r="E17" s="2" t="s">
        <v>10</v>
      </c>
      <c r="F17" s="2" t="s">
        <v>12</v>
      </c>
      <c r="G17" s="2" t="s">
        <v>288</v>
      </c>
    </row>
    <row r="18" spans="1:7" ht="12.75">
      <c r="A18" s="2">
        <v>4</v>
      </c>
      <c r="B18" s="2" t="s">
        <v>698</v>
      </c>
      <c r="C18" s="2" t="s">
        <v>663</v>
      </c>
      <c r="D18" s="2" t="s">
        <v>328</v>
      </c>
      <c r="E18" s="2" t="s">
        <v>5</v>
      </c>
      <c r="F18" s="2" t="s">
        <v>12</v>
      </c>
      <c r="G18" s="2" t="s">
        <v>288</v>
      </c>
    </row>
    <row r="19" spans="1:7" ht="12.75">
      <c r="A19" s="2">
        <v>4</v>
      </c>
      <c r="B19" s="2" t="s">
        <v>698</v>
      </c>
      <c r="C19" s="2" t="s">
        <v>664</v>
      </c>
      <c r="D19" s="2" t="s">
        <v>5</v>
      </c>
      <c r="E19" s="2" t="s">
        <v>8</v>
      </c>
      <c r="F19" s="2" t="s">
        <v>12</v>
      </c>
      <c r="G19" s="2" t="s">
        <v>650</v>
      </c>
    </row>
    <row r="20" spans="1:7" ht="12.75">
      <c r="A20" s="2">
        <v>4</v>
      </c>
      <c r="B20" s="2" t="s">
        <v>698</v>
      </c>
      <c r="C20" s="2" t="s">
        <v>665</v>
      </c>
      <c r="D20" s="2" t="s">
        <v>65</v>
      </c>
      <c r="E20" s="2" t="s">
        <v>666</v>
      </c>
      <c r="F20" s="2" t="s">
        <v>12</v>
      </c>
      <c r="G20" s="2" t="s">
        <v>288</v>
      </c>
    </row>
    <row r="21" spans="1:7" ht="12.75">
      <c r="A21" s="2">
        <v>4</v>
      </c>
      <c r="B21" s="2" t="s">
        <v>698</v>
      </c>
      <c r="C21" s="2" t="s">
        <v>667</v>
      </c>
      <c r="D21" s="2" t="s">
        <v>5</v>
      </c>
      <c r="E21" s="2" t="s">
        <v>348</v>
      </c>
      <c r="F21" s="2" t="s">
        <v>12</v>
      </c>
      <c r="G21" s="2" t="s">
        <v>650</v>
      </c>
    </row>
    <row r="22" spans="1:7" ht="12.75">
      <c r="A22" s="2">
        <v>5</v>
      </c>
      <c r="B22" s="2" t="s">
        <v>698</v>
      </c>
      <c r="C22" s="2" t="s">
        <v>569</v>
      </c>
      <c r="D22" s="2" t="s">
        <v>10</v>
      </c>
      <c r="E22" s="2" t="s">
        <v>5</v>
      </c>
      <c r="F22" s="2" t="s">
        <v>12</v>
      </c>
      <c r="G22" s="2" t="s">
        <v>288</v>
      </c>
    </row>
    <row r="23" spans="1:7" ht="12.75">
      <c r="A23" s="2">
        <v>5</v>
      </c>
      <c r="B23" s="2" t="s">
        <v>698</v>
      </c>
      <c r="C23" s="2" t="s">
        <v>701</v>
      </c>
      <c r="D23" s="2" t="s">
        <v>9</v>
      </c>
      <c r="E23" s="2" t="s">
        <v>10</v>
      </c>
      <c r="F23" s="2" t="s">
        <v>12</v>
      </c>
      <c r="G23" s="2" t="s">
        <v>650</v>
      </c>
    </row>
    <row r="24" spans="1:7" ht="12.75">
      <c r="A24" s="2">
        <v>5</v>
      </c>
      <c r="B24" s="2" t="s">
        <v>698</v>
      </c>
      <c r="C24" s="2" t="s">
        <v>668</v>
      </c>
      <c r="D24" s="2" t="s">
        <v>8</v>
      </c>
      <c r="E24" s="2" t="s">
        <v>10</v>
      </c>
      <c r="F24" s="2" t="s">
        <v>12</v>
      </c>
      <c r="G24" s="2" t="s">
        <v>650</v>
      </c>
    </row>
    <row r="25" spans="1:7" ht="12.75">
      <c r="A25" s="2">
        <v>5</v>
      </c>
      <c r="B25" s="2" t="s">
        <v>698</v>
      </c>
      <c r="C25" s="2" t="s">
        <v>669</v>
      </c>
      <c r="D25" s="2" t="s">
        <v>8</v>
      </c>
      <c r="E25" s="2" t="s">
        <v>7</v>
      </c>
      <c r="F25" s="2" t="s">
        <v>12</v>
      </c>
      <c r="G25" s="2" t="s">
        <v>650</v>
      </c>
    </row>
    <row r="26" spans="1:7" ht="12.75">
      <c r="A26" s="2">
        <v>5</v>
      </c>
      <c r="B26" s="2" t="s">
        <v>698</v>
      </c>
      <c r="C26" s="2" t="s">
        <v>702</v>
      </c>
      <c r="D26" s="2" t="s">
        <v>337</v>
      </c>
      <c r="E26" s="2" t="s">
        <v>8</v>
      </c>
      <c r="F26" s="2" t="s">
        <v>12</v>
      </c>
      <c r="G26" s="2" t="s">
        <v>288</v>
      </c>
    </row>
    <row r="27" spans="1:7" ht="12.75">
      <c r="A27" s="2">
        <v>5</v>
      </c>
      <c r="B27" s="2" t="s">
        <v>698</v>
      </c>
      <c r="C27" s="2" t="s">
        <v>670</v>
      </c>
      <c r="D27" s="2" t="s">
        <v>9</v>
      </c>
      <c r="E27" s="2" t="s">
        <v>10</v>
      </c>
      <c r="F27" s="2" t="s">
        <v>12</v>
      </c>
      <c r="G27" s="2" t="s">
        <v>650</v>
      </c>
    </row>
    <row r="28" spans="1:7" ht="12.75">
      <c r="A28" s="2">
        <v>6</v>
      </c>
      <c r="B28" s="2" t="s">
        <v>698</v>
      </c>
      <c r="C28" s="2" t="s">
        <v>671</v>
      </c>
      <c r="D28" s="2" t="s">
        <v>5</v>
      </c>
      <c r="E28" s="2" t="s">
        <v>9</v>
      </c>
      <c r="F28" s="2" t="s">
        <v>12</v>
      </c>
      <c r="G28" s="2" t="s">
        <v>288</v>
      </c>
    </row>
    <row r="29" spans="1:7" ht="12.75">
      <c r="A29" s="2">
        <v>6</v>
      </c>
      <c r="B29" s="2" t="s">
        <v>698</v>
      </c>
      <c r="C29" s="2" t="s">
        <v>673</v>
      </c>
      <c r="D29" s="2" t="s">
        <v>50</v>
      </c>
      <c r="E29" s="2" t="s">
        <v>8</v>
      </c>
      <c r="F29" s="2" t="s">
        <v>12</v>
      </c>
      <c r="G29" s="2" t="s">
        <v>288</v>
      </c>
    </row>
    <row r="30" spans="1:7" ht="12.75">
      <c r="A30" s="2">
        <v>6</v>
      </c>
      <c r="B30" s="2" t="s">
        <v>698</v>
      </c>
      <c r="C30" s="2" t="s">
        <v>672</v>
      </c>
      <c r="D30" s="2" t="s">
        <v>50</v>
      </c>
      <c r="E30" s="2" t="s">
        <v>415</v>
      </c>
      <c r="F30" s="2" t="s">
        <v>12</v>
      </c>
      <c r="G30" s="2" t="s">
        <v>288</v>
      </c>
    </row>
    <row r="31" spans="1:7" ht="12.75">
      <c r="A31" s="2">
        <v>7</v>
      </c>
      <c r="B31" s="2" t="s">
        <v>698</v>
      </c>
      <c r="C31" s="2" t="s">
        <v>674</v>
      </c>
      <c r="D31" s="2" t="s">
        <v>6</v>
      </c>
      <c r="E31" s="2" t="s">
        <v>7</v>
      </c>
      <c r="F31" s="2" t="s">
        <v>12</v>
      </c>
      <c r="G31" s="2" t="s">
        <v>650</v>
      </c>
    </row>
    <row r="32" spans="1:7" ht="12.75">
      <c r="A32" s="2">
        <v>7</v>
      </c>
      <c r="B32" s="2" t="s">
        <v>698</v>
      </c>
      <c r="C32" s="2" t="s">
        <v>675</v>
      </c>
      <c r="D32" s="2" t="s">
        <v>7</v>
      </c>
      <c r="E32" s="2" t="s">
        <v>5</v>
      </c>
      <c r="F32" s="2" t="s">
        <v>12</v>
      </c>
      <c r="G32" s="2" t="s">
        <v>650</v>
      </c>
    </row>
    <row r="33" spans="1:7" ht="12.75">
      <c r="A33" s="2">
        <v>7</v>
      </c>
      <c r="B33" s="2" t="s">
        <v>698</v>
      </c>
      <c r="C33" s="2" t="s">
        <v>676</v>
      </c>
      <c r="D33" s="2" t="s">
        <v>6</v>
      </c>
      <c r="E33" s="2" t="s">
        <v>8</v>
      </c>
      <c r="F33" s="2" t="s">
        <v>12</v>
      </c>
      <c r="G33" s="2" t="s">
        <v>650</v>
      </c>
    </row>
    <row r="34" spans="1:7" ht="12.75">
      <c r="A34" s="2">
        <v>7</v>
      </c>
      <c r="B34" s="2" t="s">
        <v>698</v>
      </c>
      <c r="C34" s="2" t="s">
        <v>677</v>
      </c>
      <c r="D34" s="2" t="s">
        <v>7</v>
      </c>
      <c r="E34" s="2" t="s">
        <v>678</v>
      </c>
      <c r="F34" s="2" t="s">
        <v>12</v>
      </c>
      <c r="G34" s="2" t="s">
        <v>650</v>
      </c>
    </row>
    <row r="35" spans="1:7" ht="12.75">
      <c r="A35" s="2">
        <v>7</v>
      </c>
      <c r="B35" s="2" t="s">
        <v>698</v>
      </c>
      <c r="C35" s="2" t="s">
        <v>679</v>
      </c>
      <c r="D35" s="2" t="s">
        <v>5</v>
      </c>
      <c r="E35" s="2" t="s">
        <v>7</v>
      </c>
      <c r="F35" s="2" t="s">
        <v>12</v>
      </c>
      <c r="G35" s="2" t="s">
        <v>650</v>
      </c>
    </row>
    <row r="36" spans="1:7" ht="12.75">
      <c r="A36" s="2">
        <v>8</v>
      </c>
      <c r="B36" s="2" t="s">
        <v>698</v>
      </c>
      <c r="C36" s="2" t="s">
        <v>680</v>
      </c>
      <c r="D36" s="2" t="s">
        <v>8</v>
      </c>
      <c r="E36" s="2" t="s">
        <v>681</v>
      </c>
      <c r="F36" s="2" t="s">
        <v>12</v>
      </c>
      <c r="G36" s="2" t="s">
        <v>650</v>
      </c>
    </row>
    <row r="37" spans="1:7" ht="12.75">
      <c r="A37" s="2">
        <v>8</v>
      </c>
      <c r="B37" s="2" t="s">
        <v>698</v>
      </c>
      <c r="C37" s="2" t="s">
        <v>683</v>
      </c>
      <c r="D37" s="2" t="s">
        <v>682</v>
      </c>
      <c r="E37" s="2" t="s">
        <v>8</v>
      </c>
      <c r="F37" s="2" t="s">
        <v>12</v>
      </c>
      <c r="G37" s="2" t="s">
        <v>288</v>
      </c>
    </row>
    <row r="38" spans="1:7" ht="12.75">
      <c r="A38" s="2">
        <v>8</v>
      </c>
      <c r="B38" s="2" t="s">
        <v>698</v>
      </c>
      <c r="C38" s="2" t="s">
        <v>700</v>
      </c>
      <c r="D38" s="2" t="s">
        <v>5</v>
      </c>
      <c r="E38" s="2" t="s">
        <v>348</v>
      </c>
      <c r="F38" s="2" t="s">
        <v>12</v>
      </c>
      <c r="G38" s="2" t="s">
        <v>650</v>
      </c>
    </row>
    <row r="39" spans="1:7" ht="12.75">
      <c r="A39" s="2">
        <v>8</v>
      </c>
      <c r="B39" s="2" t="s">
        <v>698</v>
      </c>
      <c r="C39" s="2" t="s">
        <v>699</v>
      </c>
      <c r="D39" s="2" t="s">
        <v>5</v>
      </c>
      <c r="E39" s="2" t="s">
        <v>415</v>
      </c>
      <c r="F39" s="2" t="s">
        <v>12</v>
      </c>
      <c r="G39" s="2" t="s">
        <v>288</v>
      </c>
    </row>
    <row r="40" spans="1:7" ht="12.75">
      <c r="A40" s="2">
        <v>9</v>
      </c>
      <c r="B40" s="2" t="s">
        <v>698</v>
      </c>
      <c r="C40" s="2" t="s">
        <v>684</v>
      </c>
      <c r="D40" s="2" t="s">
        <v>266</v>
      </c>
      <c r="E40" s="2" t="s">
        <v>685</v>
      </c>
      <c r="F40" s="2" t="s">
        <v>12</v>
      </c>
      <c r="G40" s="2" t="s">
        <v>650</v>
      </c>
    </row>
    <row r="41" spans="1:7" ht="12.75">
      <c r="A41" s="2">
        <v>9</v>
      </c>
      <c r="B41" s="2" t="s">
        <v>698</v>
      </c>
      <c r="C41" s="2" t="s">
        <v>686</v>
      </c>
      <c r="D41" s="2" t="s">
        <v>5</v>
      </c>
      <c r="E41" s="2" t="s">
        <v>687</v>
      </c>
      <c r="F41" s="2" t="s">
        <v>12</v>
      </c>
      <c r="G41" s="2" t="s">
        <v>288</v>
      </c>
    </row>
    <row r="42" spans="1:7" ht="12.75">
      <c r="A42" s="2">
        <v>9</v>
      </c>
      <c r="B42" s="2" t="s">
        <v>698</v>
      </c>
      <c r="C42" s="2" t="s">
        <v>688</v>
      </c>
      <c r="D42" s="2" t="s">
        <v>8</v>
      </c>
      <c r="E42" s="2" t="s">
        <v>50</v>
      </c>
      <c r="F42" s="2" t="s">
        <v>12</v>
      </c>
      <c r="G42" s="2" t="s">
        <v>288</v>
      </c>
    </row>
    <row r="43" spans="1:7" ht="12.75">
      <c r="A43" s="2">
        <v>10</v>
      </c>
      <c r="B43" s="2" t="s">
        <v>698</v>
      </c>
      <c r="C43" s="2" t="s">
        <v>689</v>
      </c>
      <c r="D43" s="2" t="s">
        <v>5</v>
      </c>
      <c r="E43" s="2" t="s">
        <v>8</v>
      </c>
      <c r="F43" s="2" t="s">
        <v>12</v>
      </c>
      <c r="G43" s="2" t="s">
        <v>650</v>
      </c>
    </row>
    <row r="44" spans="1:7" ht="12.75">
      <c r="A44" s="2">
        <v>10</v>
      </c>
      <c r="B44" s="2" t="s">
        <v>698</v>
      </c>
      <c r="C44" s="2" t="s">
        <v>690</v>
      </c>
      <c r="D44" s="2" t="s">
        <v>9</v>
      </c>
      <c r="E44" s="2" t="s">
        <v>8</v>
      </c>
      <c r="F44" s="2" t="s">
        <v>12</v>
      </c>
      <c r="G44" s="2" t="s">
        <v>288</v>
      </c>
    </row>
    <row r="45" spans="1:7" ht="12.75">
      <c r="A45" s="2">
        <v>10</v>
      </c>
      <c r="B45" s="2" t="s">
        <v>698</v>
      </c>
      <c r="C45" s="2" t="s">
        <v>691</v>
      </c>
      <c r="D45" s="2" t="s">
        <v>6</v>
      </c>
      <c r="E45" s="2" t="s">
        <v>262</v>
      </c>
      <c r="F45" s="2" t="s">
        <v>12</v>
      </c>
      <c r="G45" s="2" t="s">
        <v>650</v>
      </c>
    </row>
    <row r="46" spans="1:7" ht="12.75">
      <c r="A46" s="2">
        <v>10</v>
      </c>
      <c r="B46" s="2" t="s">
        <v>698</v>
      </c>
      <c r="C46" s="2" t="s">
        <v>692</v>
      </c>
      <c r="D46" s="2" t="s">
        <v>6</v>
      </c>
      <c r="E46" s="2" t="s">
        <v>262</v>
      </c>
      <c r="F46" s="2" t="s">
        <v>10</v>
      </c>
      <c r="G46" s="2" t="s">
        <v>650</v>
      </c>
    </row>
    <row r="47" spans="1:7" ht="12.75">
      <c r="A47" s="2">
        <v>10</v>
      </c>
      <c r="B47" s="2" t="s">
        <v>698</v>
      </c>
      <c r="C47" s="2" t="s">
        <v>580</v>
      </c>
      <c r="D47" s="2" t="s">
        <v>7</v>
      </c>
      <c r="E47" s="2" t="s">
        <v>8</v>
      </c>
      <c r="F47" s="2" t="s">
        <v>12</v>
      </c>
      <c r="G47" s="2" t="s">
        <v>288</v>
      </c>
    </row>
    <row r="48" spans="1:7" ht="12.75">
      <c r="A48" s="2">
        <v>11</v>
      </c>
      <c r="B48" s="2" t="s">
        <v>698</v>
      </c>
      <c r="C48" s="2" t="s">
        <v>705</v>
      </c>
      <c r="D48" s="2" t="s">
        <v>8</v>
      </c>
      <c r="E48" s="2" t="s">
        <v>50</v>
      </c>
      <c r="F48" s="2" t="s">
        <v>12</v>
      </c>
      <c r="G48" s="2" t="s">
        <v>650</v>
      </c>
    </row>
    <row r="49" spans="1:3" ht="12.75">
      <c r="A49" s="2">
        <v>11</v>
      </c>
      <c r="B49" s="2" t="s">
        <v>698</v>
      </c>
      <c r="C49" s="2" t="s">
        <v>693</v>
      </c>
    </row>
    <row r="50" spans="1:7" ht="12.75">
      <c r="A50" s="2">
        <v>11</v>
      </c>
      <c r="B50" s="2" t="s">
        <v>698</v>
      </c>
      <c r="C50" s="2" t="s">
        <v>694</v>
      </c>
      <c r="D50" s="2" t="s">
        <v>415</v>
      </c>
      <c r="E50" s="2" t="s">
        <v>653</v>
      </c>
      <c r="F50" s="2" t="s">
        <v>12</v>
      </c>
      <c r="G50" s="2" t="s">
        <v>288</v>
      </c>
    </row>
    <row r="51" spans="1:7" ht="12.75">
      <c r="A51" s="2">
        <v>12</v>
      </c>
      <c r="B51" s="2" t="s">
        <v>698</v>
      </c>
      <c r="C51" s="2" t="s">
        <v>695</v>
      </c>
      <c r="D51" s="2" t="s">
        <v>566</v>
      </c>
      <c r="E51" s="2" t="s">
        <v>696</v>
      </c>
      <c r="F51" s="2" t="s">
        <v>12</v>
      </c>
      <c r="G51" s="2" t="s">
        <v>650</v>
      </c>
    </row>
    <row r="52" spans="1:7" ht="12.75">
      <c r="A52" s="2">
        <v>12</v>
      </c>
      <c r="B52" s="2" t="s">
        <v>698</v>
      </c>
      <c r="C52" s="2" t="s">
        <v>697</v>
      </c>
      <c r="D52" s="2" t="s">
        <v>5</v>
      </c>
      <c r="E52" s="2" t="s">
        <v>9</v>
      </c>
      <c r="F52" s="2" t="s">
        <v>12</v>
      </c>
      <c r="G52" s="2" t="s">
        <v>650</v>
      </c>
    </row>
    <row r="55" ht="12.75">
      <c r="C55" s="3"/>
    </row>
    <row r="57" ht="12.75">
      <c r="C57" s="3"/>
    </row>
    <row r="62" ht="12.75">
      <c r="C62" s="3"/>
    </row>
    <row r="64" ht="12.75">
      <c r="C64" s="3"/>
    </row>
  </sheetData>
  <sheetProtection/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1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.00390625" style="0" bestFit="1" customWidth="1"/>
    <col min="2" max="2" width="6.8515625" style="0" bestFit="1" customWidth="1"/>
    <col min="3" max="3" width="49.421875" style="0" bestFit="1" customWidth="1"/>
    <col min="4" max="4" width="9.7109375" style="0" bestFit="1" customWidth="1"/>
    <col min="5" max="5" width="13.28125" style="0" bestFit="1" customWidth="1"/>
    <col min="6" max="6" width="7.7109375" style="0" bestFit="1" customWidth="1"/>
    <col min="7" max="7" width="7.28125" style="0" bestFit="1" customWidth="1"/>
  </cols>
  <sheetData>
    <row r="2" ht="12.75">
      <c r="C2" s="6" t="s">
        <v>233</v>
      </c>
    </row>
    <row r="4" spans="2:7" ht="12.75">
      <c r="B4" t="s">
        <v>35</v>
      </c>
      <c r="C4" t="s">
        <v>511</v>
      </c>
      <c r="D4" t="s">
        <v>6</v>
      </c>
      <c r="E4" t="s">
        <v>8</v>
      </c>
      <c r="F4" t="s">
        <v>12</v>
      </c>
      <c r="G4" t="s">
        <v>14</v>
      </c>
    </row>
    <row r="5" spans="2:7" ht="12.75">
      <c r="B5" t="s">
        <v>35</v>
      </c>
      <c r="C5" t="s">
        <v>645</v>
      </c>
      <c r="D5" t="s">
        <v>8</v>
      </c>
      <c r="E5" t="s">
        <v>6</v>
      </c>
      <c r="F5" t="s">
        <v>12</v>
      </c>
      <c r="G5" t="s">
        <v>14</v>
      </c>
    </row>
    <row r="6" spans="2:7" ht="12.75">
      <c r="B6" t="s">
        <v>35</v>
      </c>
      <c r="C6" t="s">
        <v>383</v>
      </c>
      <c r="D6" t="s">
        <v>52</v>
      </c>
      <c r="E6" t="s">
        <v>382</v>
      </c>
      <c r="F6" t="s">
        <v>12</v>
      </c>
      <c r="G6" t="s">
        <v>14</v>
      </c>
    </row>
    <row r="7" spans="2:7" ht="12.75">
      <c r="B7" t="s">
        <v>35</v>
      </c>
      <c r="C7" t="s">
        <v>388</v>
      </c>
      <c r="D7" t="s">
        <v>382</v>
      </c>
      <c r="E7" t="s">
        <v>52</v>
      </c>
      <c r="F7" t="s">
        <v>12</v>
      </c>
      <c r="G7" t="s">
        <v>14</v>
      </c>
    </row>
    <row r="8" spans="2:7" ht="12.75">
      <c r="B8" t="s">
        <v>35</v>
      </c>
      <c r="C8" t="s">
        <v>491</v>
      </c>
      <c r="D8" t="s">
        <v>9</v>
      </c>
      <c r="E8" t="s">
        <v>382</v>
      </c>
      <c r="F8" t="s">
        <v>12</v>
      </c>
      <c r="G8" t="s">
        <v>14</v>
      </c>
    </row>
    <row r="9" spans="2:7" ht="12.75">
      <c r="B9" t="s">
        <v>35</v>
      </c>
      <c r="C9" t="s">
        <v>494</v>
      </c>
      <c r="D9" t="s">
        <v>52</v>
      </c>
      <c r="E9" t="s">
        <v>10</v>
      </c>
      <c r="F9" t="s">
        <v>12</v>
      </c>
      <c r="G9" t="s">
        <v>14</v>
      </c>
    </row>
    <row r="10" spans="2:7" ht="12.75">
      <c r="B10" t="s">
        <v>35</v>
      </c>
      <c r="C10" t="s">
        <v>496</v>
      </c>
      <c r="D10" t="s">
        <v>5</v>
      </c>
      <c r="E10" t="s">
        <v>49</v>
      </c>
      <c r="F10" t="s">
        <v>12</v>
      </c>
      <c r="G10" t="s">
        <v>14</v>
      </c>
    </row>
    <row r="11" spans="1:7" ht="12.75">
      <c r="A11">
        <v>1</v>
      </c>
      <c r="B11" t="s">
        <v>35</v>
      </c>
      <c r="C11" t="s">
        <v>384</v>
      </c>
      <c r="D11" t="s">
        <v>10</v>
      </c>
      <c r="E11" t="s">
        <v>5</v>
      </c>
      <c r="F11" t="s">
        <v>12</v>
      </c>
      <c r="G11" t="s">
        <v>14</v>
      </c>
    </row>
    <row r="12" spans="1:7" ht="12.75">
      <c r="A12">
        <v>1</v>
      </c>
      <c r="B12" t="s">
        <v>35</v>
      </c>
      <c r="C12" t="s">
        <v>75</v>
      </c>
      <c r="D12" t="s">
        <v>382</v>
      </c>
      <c r="E12" t="s">
        <v>52</v>
      </c>
      <c r="F12" t="s">
        <v>12</v>
      </c>
      <c r="G12" t="s">
        <v>14</v>
      </c>
    </row>
    <row r="13" spans="1:7" ht="12.75">
      <c r="A13">
        <v>1</v>
      </c>
      <c r="B13" t="s">
        <v>35</v>
      </c>
      <c r="C13" t="s">
        <v>76</v>
      </c>
      <c r="D13" t="s">
        <v>50</v>
      </c>
      <c r="E13" t="s">
        <v>9</v>
      </c>
      <c r="F13" t="s">
        <v>12</v>
      </c>
      <c r="G13" t="s">
        <v>14</v>
      </c>
    </row>
    <row r="14" spans="1:7" ht="12.75">
      <c r="A14">
        <v>1</v>
      </c>
      <c r="B14" t="s">
        <v>35</v>
      </c>
      <c r="C14" t="s">
        <v>390</v>
      </c>
      <c r="D14" t="s">
        <v>319</v>
      </c>
      <c r="E14" t="s">
        <v>8</v>
      </c>
      <c r="F14" t="s">
        <v>12</v>
      </c>
      <c r="G14" t="s">
        <v>13</v>
      </c>
    </row>
    <row r="15" spans="1:7" ht="12.75">
      <c r="A15">
        <v>2</v>
      </c>
      <c r="B15" t="s">
        <v>35</v>
      </c>
      <c r="C15" t="s">
        <v>394</v>
      </c>
      <c r="D15" t="s">
        <v>391</v>
      </c>
      <c r="E15" t="s">
        <v>392</v>
      </c>
      <c r="F15" t="s">
        <v>12</v>
      </c>
      <c r="G15" t="s">
        <v>13</v>
      </c>
    </row>
    <row r="16" spans="1:7" ht="12.75">
      <c r="A16">
        <v>2</v>
      </c>
      <c r="B16" t="s">
        <v>35</v>
      </c>
      <c r="C16" t="s">
        <v>77</v>
      </c>
      <c r="D16" t="s">
        <v>5</v>
      </c>
      <c r="E16" t="s">
        <v>50</v>
      </c>
      <c r="F16" t="s">
        <v>12</v>
      </c>
      <c r="G16" t="s">
        <v>13</v>
      </c>
    </row>
    <row r="17" spans="1:7" ht="12.75">
      <c r="A17">
        <v>2</v>
      </c>
      <c r="B17" t="s">
        <v>35</v>
      </c>
      <c r="C17" t="s">
        <v>78</v>
      </c>
      <c r="D17" t="s">
        <v>5</v>
      </c>
      <c r="E17" t="s">
        <v>10</v>
      </c>
      <c r="F17" t="s">
        <v>12</v>
      </c>
      <c r="G17" t="s">
        <v>14</v>
      </c>
    </row>
    <row r="18" spans="1:7" ht="12.75">
      <c r="A18">
        <v>2</v>
      </c>
      <c r="B18" t="s">
        <v>35</v>
      </c>
      <c r="C18" t="s">
        <v>79</v>
      </c>
      <c r="D18" t="s">
        <v>50</v>
      </c>
      <c r="E18" t="s">
        <v>7</v>
      </c>
      <c r="F18" t="s">
        <v>12</v>
      </c>
      <c r="G18" t="s">
        <v>14</v>
      </c>
    </row>
    <row r="19" spans="1:7" ht="12.75">
      <c r="A19">
        <v>3</v>
      </c>
      <c r="B19" t="s">
        <v>35</v>
      </c>
      <c r="C19" t="s">
        <v>400</v>
      </c>
      <c r="D19" t="s">
        <v>5</v>
      </c>
      <c r="E19" t="s">
        <v>10</v>
      </c>
      <c r="F19" t="s">
        <v>12</v>
      </c>
      <c r="G19" t="s">
        <v>13</v>
      </c>
    </row>
    <row r="20" spans="1:7" ht="12.75">
      <c r="A20">
        <v>3</v>
      </c>
      <c r="B20" t="s">
        <v>35</v>
      </c>
      <c r="C20" t="s">
        <v>80</v>
      </c>
      <c r="D20" t="s">
        <v>50</v>
      </c>
      <c r="E20" t="s">
        <v>5</v>
      </c>
      <c r="F20" t="s">
        <v>12</v>
      </c>
      <c r="G20" t="s">
        <v>13</v>
      </c>
    </row>
    <row r="21" spans="1:7" ht="12.75">
      <c r="A21">
        <v>3</v>
      </c>
      <c r="B21" t="s">
        <v>35</v>
      </c>
      <c r="C21" t="s">
        <v>402</v>
      </c>
      <c r="D21" t="s">
        <v>6</v>
      </c>
      <c r="E21" t="s">
        <v>262</v>
      </c>
      <c r="F21" t="s">
        <v>12</v>
      </c>
      <c r="G21" t="s">
        <v>403</v>
      </c>
    </row>
    <row r="22" spans="1:7" ht="12.75">
      <c r="A22">
        <v>4</v>
      </c>
      <c r="B22" t="s">
        <v>35</v>
      </c>
      <c r="C22" t="s">
        <v>81</v>
      </c>
      <c r="D22" t="s">
        <v>6</v>
      </c>
      <c r="E22" t="s">
        <v>5</v>
      </c>
      <c r="F22" t="s">
        <v>12</v>
      </c>
      <c r="G22" t="s">
        <v>14</v>
      </c>
    </row>
    <row r="23" spans="1:7" ht="12.75">
      <c r="A23">
        <v>4</v>
      </c>
      <c r="B23" t="s">
        <v>35</v>
      </c>
      <c r="C23" t="s">
        <v>82</v>
      </c>
      <c r="D23" t="s">
        <v>328</v>
      </c>
      <c r="E23" t="s">
        <v>5</v>
      </c>
      <c r="F23" t="s">
        <v>12</v>
      </c>
      <c r="G23" t="s">
        <v>14</v>
      </c>
    </row>
    <row r="24" spans="1:7" ht="12.75">
      <c r="A24">
        <v>4</v>
      </c>
      <c r="B24" t="s">
        <v>35</v>
      </c>
      <c r="C24" t="s">
        <v>85</v>
      </c>
      <c r="D24" t="s">
        <v>83</v>
      </c>
      <c r="E24" t="s">
        <v>5</v>
      </c>
      <c r="F24" t="s">
        <v>12</v>
      </c>
      <c r="G24" t="s">
        <v>14</v>
      </c>
    </row>
    <row r="25" spans="1:7" ht="12.75">
      <c r="A25">
        <v>4</v>
      </c>
      <c r="B25" t="s">
        <v>35</v>
      </c>
      <c r="C25" t="s">
        <v>84</v>
      </c>
      <c r="D25" t="s">
        <v>6</v>
      </c>
      <c r="E25" t="s">
        <v>5</v>
      </c>
      <c r="F25" t="s">
        <v>12</v>
      </c>
      <c r="G25" t="s">
        <v>14</v>
      </c>
    </row>
    <row r="26" spans="1:7" ht="12.75">
      <c r="A26">
        <v>4</v>
      </c>
      <c r="B26" t="s">
        <v>35</v>
      </c>
      <c r="C26" t="s">
        <v>87</v>
      </c>
      <c r="D26" t="s">
        <v>5</v>
      </c>
      <c r="E26" t="s">
        <v>9</v>
      </c>
      <c r="F26" t="s">
        <v>50</v>
      </c>
      <c r="G26" t="s">
        <v>14</v>
      </c>
    </row>
    <row r="27" spans="1:7" ht="12.75">
      <c r="A27">
        <v>4</v>
      </c>
      <c r="B27" t="s">
        <v>35</v>
      </c>
      <c r="C27" t="s">
        <v>88</v>
      </c>
      <c r="D27" t="s">
        <v>5</v>
      </c>
      <c r="E27" t="s">
        <v>8</v>
      </c>
      <c r="F27" t="s">
        <v>12</v>
      </c>
      <c r="G27" t="s">
        <v>13</v>
      </c>
    </row>
    <row r="28" spans="1:7" ht="12.75">
      <c r="A28">
        <v>4</v>
      </c>
      <c r="B28" t="s">
        <v>35</v>
      </c>
      <c r="C28" t="s">
        <v>89</v>
      </c>
      <c r="D28" t="s">
        <v>50</v>
      </c>
      <c r="E28" t="s">
        <v>10</v>
      </c>
      <c r="F28" t="s">
        <v>12</v>
      </c>
      <c r="G28" t="s">
        <v>14</v>
      </c>
    </row>
    <row r="29" spans="1:7" ht="12.75">
      <c r="A29">
        <v>4</v>
      </c>
      <c r="B29" t="s">
        <v>35</v>
      </c>
      <c r="C29" t="s">
        <v>593</v>
      </c>
      <c r="D29" t="s">
        <v>7</v>
      </c>
      <c r="E29" t="s">
        <v>5</v>
      </c>
      <c r="F29" t="s">
        <v>12</v>
      </c>
      <c r="G29" t="s">
        <v>13</v>
      </c>
    </row>
    <row r="30" spans="1:7" ht="12.75">
      <c r="A30">
        <v>4</v>
      </c>
      <c r="B30" t="s">
        <v>35</v>
      </c>
      <c r="C30" t="s">
        <v>90</v>
      </c>
      <c r="D30" t="s">
        <v>65</v>
      </c>
      <c r="E30" t="s">
        <v>492</v>
      </c>
      <c r="F30" t="s">
        <v>12</v>
      </c>
      <c r="G30" t="s">
        <v>14</v>
      </c>
    </row>
    <row r="31" spans="1:7" ht="12.75">
      <c r="A31">
        <v>4</v>
      </c>
      <c r="B31" t="s">
        <v>35</v>
      </c>
      <c r="C31" t="s">
        <v>91</v>
      </c>
      <c r="D31" t="s">
        <v>5</v>
      </c>
      <c r="E31" t="s">
        <v>348</v>
      </c>
      <c r="F31" t="s">
        <v>12</v>
      </c>
      <c r="G31" t="s">
        <v>13</v>
      </c>
    </row>
    <row r="32" spans="1:7" ht="12.75">
      <c r="A32">
        <v>5</v>
      </c>
      <c r="B32" t="s">
        <v>35</v>
      </c>
      <c r="C32" t="s">
        <v>498</v>
      </c>
      <c r="D32" t="s">
        <v>10</v>
      </c>
      <c r="E32" t="s">
        <v>5</v>
      </c>
      <c r="F32" t="s">
        <v>12</v>
      </c>
      <c r="G32" t="s">
        <v>14</v>
      </c>
    </row>
    <row r="33" spans="1:7" ht="12.75">
      <c r="A33">
        <v>5</v>
      </c>
      <c r="B33" t="s">
        <v>35</v>
      </c>
      <c r="C33" t="s">
        <v>504</v>
      </c>
      <c r="D33" t="s">
        <v>9</v>
      </c>
      <c r="E33" t="s">
        <v>10</v>
      </c>
      <c r="F33" t="s">
        <v>12</v>
      </c>
      <c r="G33" t="s">
        <v>13</v>
      </c>
    </row>
    <row r="34" spans="1:7" ht="12.75">
      <c r="A34">
        <v>5</v>
      </c>
      <c r="B34" t="s">
        <v>35</v>
      </c>
      <c r="C34" t="s">
        <v>92</v>
      </c>
      <c r="D34" t="s">
        <v>8</v>
      </c>
      <c r="E34" t="s">
        <v>10</v>
      </c>
      <c r="F34" t="s">
        <v>12</v>
      </c>
      <c r="G34" t="s">
        <v>13</v>
      </c>
    </row>
    <row r="35" spans="1:7" ht="12.75">
      <c r="A35">
        <v>5</v>
      </c>
      <c r="B35" t="s">
        <v>35</v>
      </c>
      <c r="C35" t="s">
        <v>100</v>
      </c>
      <c r="D35" t="s">
        <v>8</v>
      </c>
      <c r="E35" t="s">
        <v>7</v>
      </c>
      <c r="F35" t="s">
        <v>12</v>
      </c>
      <c r="G35" t="s">
        <v>13</v>
      </c>
    </row>
    <row r="36" spans="1:7" ht="12.75">
      <c r="A36">
        <v>5</v>
      </c>
      <c r="B36" t="s">
        <v>35</v>
      </c>
      <c r="C36" t="s">
        <v>99</v>
      </c>
      <c r="D36" t="s">
        <v>337</v>
      </c>
      <c r="E36" t="s">
        <v>328</v>
      </c>
      <c r="F36" t="s">
        <v>12</v>
      </c>
      <c r="G36" t="s">
        <v>14</v>
      </c>
    </row>
    <row r="37" spans="1:7" ht="12.75">
      <c r="A37">
        <v>6</v>
      </c>
      <c r="B37" t="s">
        <v>35</v>
      </c>
      <c r="C37" t="s">
        <v>101</v>
      </c>
      <c r="D37" t="s">
        <v>5</v>
      </c>
      <c r="E37" t="s">
        <v>9</v>
      </c>
      <c r="F37" t="s">
        <v>12</v>
      </c>
      <c r="G37" t="s">
        <v>14</v>
      </c>
    </row>
    <row r="38" spans="1:7" ht="12.75">
      <c r="A38">
        <v>6</v>
      </c>
      <c r="B38" t="s">
        <v>35</v>
      </c>
      <c r="C38" t="s">
        <v>102</v>
      </c>
      <c r="D38" t="s">
        <v>50</v>
      </c>
      <c r="E38" t="s">
        <v>9</v>
      </c>
      <c r="F38" t="s">
        <v>12</v>
      </c>
      <c r="G38" t="s">
        <v>13</v>
      </c>
    </row>
    <row r="39" spans="1:7" ht="12.75">
      <c r="A39">
        <v>6</v>
      </c>
      <c r="B39" t="s">
        <v>35</v>
      </c>
      <c r="C39" t="s">
        <v>103</v>
      </c>
      <c r="D39" t="s">
        <v>50</v>
      </c>
      <c r="E39" t="s">
        <v>8</v>
      </c>
      <c r="F39" t="s">
        <v>12</v>
      </c>
      <c r="G39" t="s">
        <v>14</v>
      </c>
    </row>
    <row r="40" spans="1:7" ht="12.75">
      <c r="A40">
        <v>6</v>
      </c>
      <c r="B40" t="s">
        <v>35</v>
      </c>
      <c r="C40" t="s">
        <v>104</v>
      </c>
      <c r="D40" t="s">
        <v>50</v>
      </c>
      <c r="E40" t="s">
        <v>8</v>
      </c>
      <c r="F40" t="s">
        <v>12</v>
      </c>
      <c r="G40" t="s">
        <v>13</v>
      </c>
    </row>
    <row r="41" spans="1:7" ht="12.75">
      <c r="A41">
        <v>6</v>
      </c>
      <c r="B41" t="s">
        <v>35</v>
      </c>
      <c r="C41" t="s">
        <v>171</v>
      </c>
      <c r="D41" t="s">
        <v>328</v>
      </c>
      <c r="E41" t="s">
        <v>6</v>
      </c>
      <c r="F41" t="s">
        <v>12</v>
      </c>
      <c r="G41" t="s">
        <v>13</v>
      </c>
    </row>
    <row r="42" spans="1:7" ht="12.75">
      <c r="A42">
        <v>6</v>
      </c>
      <c r="B42" t="s">
        <v>35</v>
      </c>
      <c r="C42" t="s">
        <v>473</v>
      </c>
      <c r="D42" t="s">
        <v>337</v>
      </c>
      <c r="E42" t="s">
        <v>8</v>
      </c>
      <c r="F42" t="s">
        <v>12</v>
      </c>
      <c r="G42" t="s">
        <v>13</v>
      </c>
    </row>
    <row r="43" spans="1:7" ht="12.75">
      <c r="A43">
        <v>7</v>
      </c>
      <c r="B43" t="s">
        <v>35</v>
      </c>
      <c r="C43" t="s">
        <v>180</v>
      </c>
      <c r="D43" t="s">
        <v>7</v>
      </c>
      <c r="E43" t="s">
        <v>11</v>
      </c>
      <c r="F43" t="s">
        <v>12</v>
      </c>
      <c r="G43" t="s">
        <v>13</v>
      </c>
    </row>
    <row r="44" spans="1:7" ht="12.75">
      <c r="A44">
        <v>7</v>
      </c>
      <c r="B44" t="s">
        <v>35</v>
      </c>
      <c r="C44" t="s">
        <v>177</v>
      </c>
      <c r="D44" t="s">
        <v>7</v>
      </c>
      <c r="E44" t="s">
        <v>11</v>
      </c>
      <c r="F44" t="s">
        <v>12</v>
      </c>
      <c r="G44" t="s">
        <v>13</v>
      </c>
    </row>
    <row r="45" spans="1:7" ht="12.75">
      <c r="A45">
        <v>7</v>
      </c>
      <c r="B45" t="s">
        <v>35</v>
      </c>
      <c r="C45" t="s">
        <v>181</v>
      </c>
      <c r="D45" t="s">
        <v>6</v>
      </c>
      <c r="E45" t="s">
        <v>8</v>
      </c>
      <c r="F45" t="s">
        <v>12</v>
      </c>
      <c r="G45" t="s">
        <v>13</v>
      </c>
    </row>
    <row r="46" spans="1:7" ht="12.75">
      <c r="A46">
        <v>7</v>
      </c>
      <c r="B46" t="s">
        <v>35</v>
      </c>
      <c r="C46" t="s">
        <v>36</v>
      </c>
      <c r="D46" t="s">
        <v>5</v>
      </c>
      <c r="E46" t="s">
        <v>7</v>
      </c>
      <c r="F46" t="s">
        <v>12</v>
      </c>
      <c r="G46" t="s">
        <v>13</v>
      </c>
    </row>
    <row r="47" spans="1:7" ht="12.75">
      <c r="A47">
        <v>7</v>
      </c>
      <c r="B47" t="s">
        <v>35</v>
      </c>
      <c r="C47" t="s">
        <v>39</v>
      </c>
      <c r="D47" t="s">
        <v>5</v>
      </c>
      <c r="E47" t="s">
        <v>7</v>
      </c>
      <c r="F47" t="s">
        <v>12</v>
      </c>
      <c r="G47" t="s">
        <v>13</v>
      </c>
    </row>
    <row r="48" spans="1:7" ht="12.75">
      <c r="A48">
        <v>7</v>
      </c>
      <c r="B48" t="s">
        <v>35</v>
      </c>
      <c r="C48" t="s">
        <v>174</v>
      </c>
      <c r="D48" t="s">
        <v>7</v>
      </c>
      <c r="E48" t="s">
        <v>5</v>
      </c>
      <c r="F48" t="s">
        <v>12</v>
      </c>
      <c r="G48" t="s">
        <v>13</v>
      </c>
    </row>
    <row r="49" spans="1:7" ht="12.75">
      <c r="A49">
        <v>7</v>
      </c>
      <c r="B49" t="s">
        <v>35</v>
      </c>
      <c r="C49" t="s">
        <v>175</v>
      </c>
      <c r="D49" t="s">
        <v>7</v>
      </c>
      <c r="E49" t="s">
        <v>5</v>
      </c>
      <c r="F49" t="s">
        <v>12</v>
      </c>
      <c r="G49" t="s">
        <v>13</v>
      </c>
    </row>
    <row r="50" spans="1:7" ht="12.75">
      <c r="A50">
        <v>7</v>
      </c>
      <c r="B50" t="s">
        <v>35</v>
      </c>
      <c r="C50" t="s">
        <v>176</v>
      </c>
      <c r="D50" t="s">
        <v>7</v>
      </c>
      <c r="E50" t="s">
        <v>5</v>
      </c>
      <c r="F50" t="s">
        <v>12</v>
      </c>
      <c r="G50" t="s">
        <v>13</v>
      </c>
    </row>
    <row r="51" spans="1:7" ht="12.75">
      <c r="A51">
        <v>7</v>
      </c>
      <c r="B51" t="s">
        <v>35</v>
      </c>
      <c r="C51" t="s">
        <v>178</v>
      </c>
      <c r="D51" t="s">
        <v>7</v>
      </c>
      <c r="E51" t="s">
        <v>5</v>
      </c>
      <c r="F51" t="s">
        <v>12</v>
      </c>
      <c r="G51" t="s">
        <v>13</v>
      </c>
    </row>
    <row r="52" spans="1:7" ht="12.75">
      <c r="A52">
        <v>7</v>
      </c>
      <c r="B52" t="s">
        <v>35</v>
      </c>
      <c r="C52" t="s">
        <v>37</v>
      </c>
      <c r="D52" t="s">
        <v>6</v>
      </c>
      <c r="E52" t="s">
        <v>7</v>
      </c>
      <c r="F52" t="s">
        <v>12</v>
      </c>
      <c r="G52" t="s">
        <v>13</v>
      </c>
    </row>
    <row r="53" spans="1:7" ht="12.75">
      <c r="A53">
        <v>7</v>
      </c>
      <c r="B53" t="s">
        <v>35</v>
      </c>
      <c r="C53" t="s">
        <v>172</v>
      </c>
      <c r="D53" t="s">
        <v>6</v>
      </c>
      <c r="E53" t="s">
        <v>7</v>
      </c>
      <c r="F53" t="s">
        <v>12</v>
      </c>
      <c r="G53" t="s">
        <v>13</v>
      </c>
    </row>
    <row r="54" spans="1:7" ht="12.75">
      <c r="A54">
        <v>7</v>
      </c>
      <c r="B54" t="s">
        <v>35</v>
      </c>
      <c r="C54" t="s">
        <v>173</v>
      </c>
      <c r="D54" t="s">
        <v>6</v>
      </c>
      <c r="E54" t="s">
        <v>7</v>
      </c>
      <c r="F54" t="s">
        <v>12</v>
      </c>
      <c r="G54" t="s">
        <v>13</v>
      </c>
    </row>
    <row r="55" spans="1:7" ht="12.75">
      <c r="A55">
        <v>7</v>
      </c>
      <c r="B55" t="s">
        <v>35</v>
      </c>
      <c r="C55" t="s">
        <v>38</v>
      </c>
      <c r="D55" t="s">
        <v>8</v>
      </c>
      <c r="E55" t="s">
        <v>9</v>
      </c>
      <c r="F55" t="s">
        <v>12</v>
      </c>
      <c r="G55" t="s">
        <v>13</v>
      </c>
    </row>
    <row r="56" spans="1:7" ht="12.75">
      <c r="A56">
        <v>7</v>
      </c>
      <c r="B56" t="s">
        <v>35</v>
      </c>
      <c r="C56" t="s">
        <v>182</v>
      </c>
      <c r="D56" t="s">
        <v>6</v>
      </c>
      <c r="E56" t="s">
        <v>8</v>
      </c>
      <c r="F56" t="s">
        <v>7</v>
      </c>
      <c r="G56" t="s">
        <v>13</v>
      </c>
    </row>
    <row r="57" spans="1:7" ht="12.75">
      <c r="A57">
        <v>7</v>
      </c>
      <c r="B57" t="s">
        <v>35</v>
      </c>
      <c r="C57" t="s">
        <v>597</v>
      </c>
      <c r="D57" t="s">
        <v>9</v>
      </c>
      <c r="E57" t="s">
        <v>6</v>
      </c>
      <c r="F57" t="s">
        <v>12</v>
      </c>
      <c r="G57" t="s">
        <v>14</v>
      </c>
    </row>
    <row r="58" spans="1:7" ht="12.75">
      <c r="A58">
        <v>7</v>
      </c>
      <c r="B58" t="s">
        <v>35</v>
      </c>
      <c r="C58" t="s">
        <v>179</v>
      </c>
      <c r="D58" t="s">
        <v>8</v>
      </c>
      <c r="E58" t="s">
        <v>7</v>
      </c>
      <c r="F58" t="s">
        <v>12</v>
      </c>
      <c r="G58" t="s">
        <v>13</v>
      </c>
    </row>
    <row r="59" spans="1:7" ht="12.75">
      <c r="A59">
        <v>7</v>
      </c>
      <c r="B59" t="s">
        <v>35</v>
      </c>
      <c r="C59" t="s">
        <v>183</v>
      </c>
      <c r="D59" t="s">
        <v>9</v>
      </c>
      <c r="E59" t="s">
        <v>10</v>
      </c>
      <c r="F59" t="s">
        <v>12</v>
      </c>
      <c r="G59" t="s">
        <v>14</v>
      </c>
    </row>
    <row r="60" spans="1:7" ht="12.75">
      <c r="A60">
        <v>7</v>
      </c>
      <c r="B60" t="s">
        <v>35</v>
      </c>
      <c r="C60" t="s">
        <v>39</v>
      </c>
      <c r="D60" t="s">
        <v>5</v>
      </c>
      <c r="E60" t="s">
        <v>7</v>
      </c>
      <c r="F60" t="s">
        <v>12</v>
      </c>
      <c r="G60" t="s">
        <v>13</v>
      </c>
    </row>
    <row r="61" spans="1:7" ht="12.75">
      <c r="A61">
        <v>8</v>
      </c>
      <c r="B61" t="s">
        <v>35</v>
      </c>
      <c r="C61" t="s">
        <v>380</v>
      </c>
      <c r="D61" t="s">
        <v>8</v>
      </c>
      <c r="E61" t="s">
        <v>267</v>
      </c>
      <c r="F61" t="s">
        <v>5</v>
      </c>
      <c r="G61" t="s">
        <v>13</v>
      </c>
    </row>
    <row r="62" spans="1:7" ht="12.75">
      <c r="A62">
        <v>8</v>
      </c>
      <c r="B62" t="s">
        <v>35</v>
      </c>
      <c r="C62" t="s">
        <v>381</v>
      </c>
      <c r="D62" t="s">
        <v>371</v>
      </c>
      <c r="E62" t="s">
        <v>8</v>
      </c>
      <c r="F62" t="s">
        <v>12</v>
      </c>
      <c r="G62" t="s">
        <v>14</v>
      </c>
    </row>
    <row r="63" spans="1:7" ht="12.75">
      <c r="A63">
        <v>8</v>
      </c>
      <c r="B63" t="s">
        <v>35</v>
      </c>
      <c r="C63" t="s">
        <v>185</v>
      </c>
      <c r="D63" t="s">
        <v>5</v>
      </c>
      <c r="E63" t="s">
        <v>348</v>
      </c>
      <c r="F63" t="s">
        <v>12</v>
      </c>
      <c r="G63" t="s">
        <v>13</v>
      </c>
    </row>
    <row r="64" spans="1:7" ht="12.75">
      <c r="A64">
        <v>8</v>
      </c>
      <c r="B64" t="s">
        <v>35</v>
      </c>
      <c r="C64" t="s">
        <v>184</v>
      </c>
      <c r="D64" t="s">
        <v>5</v>
      </c>
      <c r="E64" t="s">
        <v>9</v>
      </c>
      <c r="F64" t="s">
        <v>50</v>
      </c>
      <c r="G64" t="s">
        <v>14</v>
      </c>
    </row>
    <row r="65" spans="1:7" ht="12.75">
      <c r="A65">
        <v>8</v>
      </c>
      <c r="B65" t="s">
        <v>35</v>
      </c>
      <c r="C65" t="s">
        <v>186</v>
      </c>
      <c r="D65" t="s">
        <v>5</v>
      </c>
      <c r="E65" t="s">
        <v>50</v>
      </c>
      <c r="F65" t="s">
        <v>12</v>
      </c>
      <c r="G65" t="s">
        <v>14</v>
      </c>
    </row>
    <row r="66" spans="1:7" ht="12.75">
      <c r="A66">
        <v>9</v>
      </c>
      <c r="B66" t="s">
        <v>35</v>
      </c>
      <c r="C66" t="s">
        <v>187</v>
      </c>
      <c r="D66" t="s">
        <v>266</v>
      </c>
      <c r="E66" t="s">
        <v>268</v>
      </c>
      <c r="F66" t="s">
        <v>12</v>
      </c>
      <c r="G66" t="s">
        <v>13</v>
      </c>
    </row>
    <row r="67" spans="1:7" ht="12.75">
      <c r="A67">
        <v>9</v>
      </c>
      <c r="B67" t="s">
        <v>35</v>
      </c>
      <c r="C67" t="s">
        <v>188</v>
      </c>
      <c r="D67" t="s">
        <v>5</v>
      </c>
      <c r="E67" t="s">
        <v>272</v>
      </c>
      <c r="F67" t="s">
        <v>12</v>
      </c>
      <c r="G67" t="s">
        <v>14</v>
      </c>
    </row>
    <row r="68" spans="1:7" ht="12.75">
      <c r="A68">
        <v>9</v>
      </c>
      <c r="B68" t="s">
        <v>35</v>
      </c>
      <c r="C68" t="s">
        <v>275</v>
      </c>
      <c r="D68" t="s">
        <v>8</v>
      </c>
      <c r="E68" t="s">
        <v>50</v>
      </c>
      <c r="F68" t="s">
        <v>12</v>
      </c>
      <c r="G68" t="s">
        <v>14</v>
      </c>
    </row>
    <row r="69" spans="1:7" ht="12.75">
      <c r="A69">
        <v>9</v>
      </c>
      <c r="B69" t="s">
        <v>35</v>
      </c>
      <c r="C69" t="s">
        <v>189</v>
      </c>
      <c r="D69" t="s">
        <v>5</v>
      </c>
      <c r="E69" t="s">
        <v>8</v>
      </c>
      <c r="F69" t="s">
        <v>12</v>
      </c>
      <c r="G69" t="s">
        <v>14</v>
      </c>
    </row>
    <row r="70" spans="1:7" ht="12.75">
      <c r="A70">
        <v>9</v>
      </c>
      <c r="B70" t="s">
        <v>35</v>
      </c>
      <c r="C70" t="s">
        <v>190</v>
      </c>
      <c r="D70" t="s">
        <v>5</v>
      </c>
      <c r="E70" t="s">
        <v>10</v>
      </c>
      <c r="F70" t="s">
        <v>50</v>
      </c>
      <c r="G70" t="s">
        <v>14</v>
      </c>
    </row>
    <row r="71" spans="1:7" ht="12.75">
      <c r="A71">
        <v>9</v>
      </c>
      <c r="B71" t="s">
        <v>35</v>
      </c>
      <c r="C71" t="s">
        <v>191</v>
      </c>
      <c r="D71" t="s">
        <v>6</v>
      </c>
      <c r="E71" t="s">
        <v>10</v>
      </c>
      <c r="F71" t="s">
        <v>12</v>
      </c>
      <c r="G71" t="s">
        <v>14</v>
      </c>
    </row>
    <row r="72" spans="1:7" ht="12.75">
      <c r="A72">
        <v>9</v>
      </c>
      <c r="B72" t="s">
        <v>35</v>
      </c>
      <c r="C72" t="s">
        <v>192</v>
      </c>
      <c r="D72" t="s">
        <v>50</v>
      </c>
      <c r="E72" t="s">
        <v>8</v>
      </c>
      <c r="F72" t="s">
        <v>12</v>
      </c>
      <c r="G72" t="s">
        <v>14</v>
      </c>
    </row>
    <row r="73" spans="1:7" ht="12.75">
      <c r="A73">
        <v>10</v>
      </c>
      <c r="B73" t="s">
        <v>35</v>
      </c>
      <c r="C73" t="s">
        <v>193</v>
      </c>
      <c r="D73" t="s">
        <v>65</v>
      </c>
      <c r="E73" t="s">
        <v>492</v>
      </c>
      <c r="F73" t="s">
        <v>12</v>
      </c>
      <c r="G73" t="s">
        <v>14</v>
      </c>
    </row>
    <row r="74" spans="1:7" ht="12.75">
      <c r="A74">
        <v>10</v>
      </c>
      <c r="B74" t="s">
        <v>35</v>
      </c>
      <c r="C74" t="s">
        <v>194</v>
      </c>
      <c r="D74" t="s">
        <v>9</v>
      </c>
      <c r="E74" t="s">
        <v>8</v>
      </c>
      <c r="F74" t="s">
        <v>12</v>
      </c>
      <c r="G74" t="s">
        <v>14</v>
      </c>
    </row>
    <row r="75" spans="1:7" ht="12.75">
      <c r="A75">
        <v>10</v>
      </c>
      <c r="B75" t="s">
        <v>35</v>
      </c>
      <c r="C75" t="s">
        <v>195</v>
      </c>
      <c r="D75" t="s">
        <v>50</v>
      </c>
      <c r="E75" t="s">
        <v>9</v>
      </c>
      <c r="F75" t="s">
        <v>12</v>
      </c>
      <c r="G75" t="s">
        <v>14</v>
      </c>
    </row>
    <row r="76" spans="1:7" ht="12.75">
      <c r="A76">
        <v>10</v>
      </c>
      <c r="B76" t="s">
        <v>35</v>
      </c>
      <c r="C76" t="s">
        <v>196</v>
      </c>
      <c r="D76" t="s">
        <v>6</v>
      </c>
      <c r="E76" t="s">
        <v>5</v>
      </c>
      <c r="F76" t="s">
        <v>12</v>
      </c>
      <c r="G76" t="s">
        <v>14</v>
      </c>
    </row>
    <row r="77" spans="1:7" ht="12.75">
      <c r="A77">
        <v>10</v>
      </c>
      <c r="B77" t="s">
        <v>35</v>
      </c>
      <c r="C77" t="s">
        <v>197</v>
      </c>
      <c r="D77" t="s">
        <v>5</v>
      </c>
      <c r="E77" t="s">
        <v>49</v>
      </c>
      <c r="F77" t="s">
        <v>12</v>
      </c>
      <c r="G77" t="s">
        <v>14</v>
      </c>
    </row>
    <row r="78" spans="1:7" ht="12.75">
      <c r="A78">
        <v>10</v>
      </c>
      <c r="B78" t="s">
        <v>35</v>
      </c>
      <c r="C78" t="s">
        <v>198</v>
      </c>
      <c r="D78" t="s">
        <v>50</v>
      </c>
      <c r="E78" t="s">
        <v>6</v>
      </c>
      <c r="F78" t="s">
        <v>12</v>
      </c>
      <c r="G78" t="s">
        <v>13</v>
      </c>
    </row>
    <row r="79" spans="1:7" ht="12.75">
      <c r="A79">
        <v>10</v>
      </c>
      <c r="B79" t="s">
        <v>35</v>
      </c>
      <c r="C79" t="s">
        <v>199</v>
      </c>
      <c r="D79" t="s">
        <v>9</v>
      </c>
      <c r="E79" t="s">
        <v>5</v>
      </c>
      <c r="F79" t="s">
        <v>12</v>
      </c>
      <c r="G79" t="s">
        <v>14</v>
      </c>
    </row>
    <row r="80" spans="1:7" ht="12.75">
      <c r="A80">
        <v>10</v>
      </c>
      <c r="B80" t="s">
        <v>35</v>
      </c>
      <c r="C80" t="s">
        <v>200</v>
      </c>
      <c r="D80" t="s">
        <v>5</v>
      </c>
      <c r="E80" t="s">
        <v>8</v>
      </c>
      <c r="F80" t="s">
        <v>12</v>
      </c>
      <c r="G80" t="s">
        <v>14</v>
      </c>
    </row>
    <row r="81" spans="1:7" ht="12.75">
      <c r="A81">
        <v>10</v>
      </c>
      <c r="B81" t="s">
        <v>35</v>
      </c>
      <c r="C81" t="s">
        <v>201</v>
      </c>
      <c r="D81" t="s">
        <v>50</v>
      </c>
      <c r="E81" t="s">
        <v>7</v>
      </c>
      <c r="F81" t="s">
        <v>12</v>
      </c>
      <c r="G81" t="s">
        <v>14</v>
      </c>
    </row>
    <row r="82" spans="1:7" ht="12.75">
      <c r="A82">
        <v>10</v>
      </c>
      <c r="B82" t="s">
        <v>35</v>
      </c>
      <c r="C82" t="s">
        <v>206</v>
      </c>
      <c r="D82" t="s">
        <v>52</v>
      </c>
      <c r="E82" t="s">
        <v>49</v>
      </c>
      <c r="F82" t="s">
        <v>12</v>
      </c>
      <c r="G82" t="s">
        <v>14</v>
      </c>
    </row>
    <row r="83" spans="1:7" ht="12.75">
      <c r="A83">
        <v>10</v>
      </c>
      <c r="B83" t="s">
        <v>35</v>
      </c>
      <c r="C83" t="s">
        <v>202</v>
      </c>
      <c r="D83" t="s">
        <v>6</v>
      </c>
      <c r="E83" t="s">
        <v>10</v>
      </c>
      <c r="F83" t="s">
        <v>12</v>
      </c>
      <c r="G83" t="s">
        <v>14</v>
      </c>
    </row>
    <row r="84" spans="1:7" ht="12.75">
      <c r="A84">
        <v>10</v>
      </c>
      <c r="B84" t="s">
        <v>35</v>
      </c>
      <c r="C84" t="s">
        <v>203</v>
      </c>
      <c r="D84" t="s">
        <v>7</v>
      </c>
      <c r="E84" t="s">
        <v>8</v>
      </c>
      <c r="F84" t="s">
        <v>12</v>
      </c>
      <c r="G84" t="s">
        <v>14</v>
      </c>
    </row>
    <row r="85" spans="1:7" ht="12.75">
      <c r="A85">
        <v>10</v>
      </c>
      <c r="B85" t="s">
        <v>35</v>
      </c>
      <c r="C85" t="s">
        <v>204</v>
      </c>
      <c r="D85" t="s">
        <v>7</v>
      </c>
      <c r="E85" t="s">
        <v>5</v>
      </c>
      <c r="F85" t="s">
        <v>12</v>
      </c>
      <c r="G85" t="s">
        <v>14</v>
      </c>
    </row>
    <row r="86" spans="1:7" s="2" customFormat="1" ht="12.75">
      <c r="A86" s="2">
        <v>10</v>
      </c>
      <c r="B86" s="2" t="s">
        <v>35</v>
      </c>
      <c r="C86" s="2" t="s">
        <v>205</v>
      </c>
      <c r="D86" s="2" t="s">
        <v>6</v>
      </c>
      <c r="E86" s="2" t="s">
        <v>262</v>
      </c>
      <c r="F86" s="2" t="s">
        <v>10</v>
      </c>
      <c r="G86" s="2" t="s">
        <v>13</v>
      </c>
    </row>
    <row r="87" spans="1:7" ht="12.75">
      <c r="A87">
        <v>11</v>
      </c>
      <c r="B87" t="s">
        <v>35</v>
      </c>
      <c r="C87" t="s">
        <v>207</v>
      </c>
      <c r="D87" t="s">
        <v>49</v>
      </c>
      <c r="E87" t="s">
        <v>52</v>
      </c>
      <c r="F87" t="s">
        <v>12</v>
      </c>
      <c r="G87" t="s">
        <v>14</v>
      </c>
    </row>
    <row r="88" spans="1:7" ht="12.75">
      <c r="A88">
        <v>11</v>
      </c>
      <c r="B88" t="s">
        <v>35</v>
      </c>
      <c r="C88" t="s">
        <v>208</v>
      </c>
      <c r="D88" t="s">
        <v>49</v>
      </c>
      <c r="E88" t="s">
        <v>52</v>
      </c>
      <c r="F88" t="s">
        <v>12</v>
      </c>
      <c r="G88" t="s">
        <v>14</v>
      </c>
    </row>
    <row r="89" spans="1:7" ht="12.75">
      <c r="A89">
        <v>11</v>
      </c>
      <c r="B89" t="s">
        <v>35</v>
      </c>
      <c r="C89" t="s">
        <v>211</v>
      </c>
      <c r="D89" t="s">
        <v>49</v>
      </c>
      <c r="E89" t="s">
        <v>52</v>
      </c>
      <c r="F89" t="s">
        <v>12</v>
      </c>
      <c r="G89" t="s">
        <v>14</v>
      </c>
    </row>
    <row r="90" spans="1:7" ht="12.75">
      <c r="A90">
        <v>11</v>
      </c>
      <c r="B90" t="s">
        <v>35</v>
      </c>
      <c r="C90" t="s">
        <v>209</v>
      </c>
      <c r="D90" t="s">
        <v>49</v>
      </c>
      <c r="E90" t="s">
        <v>6</v>
      </c>
      <c r="F90" t="s">
        <v>12</v>
      </c>
      <c r="G90" t="s">
        <v>14</v>
      </c>
    </row>
    <row r="91" spans="1:7" ht="12.75">
      <c r="A91">
        <v>11</v>
      </c>
      <c r="B91" t="s">
        <v>35</v>
      </c>
      <c r="C91" t="s">
        <v>210</v>
      </c>
      <c r="D91" t="s">
        <v>49</v>
      </c>
      <c r="E91" t="s">
        <v>10</v>
      </c>
      <c r="F91" t="s">
        <v>12</v>
      </c>
      <c r="G91" t="s">
        <v>14</v>
      </c>
    </row>
    <row r="92" spans="1:7" ht="12.75">
      <c r="A92">
        <v>11</v>
      </c>
      <c r="B92" t="s">
        <v>35</v>
      </c>
      <c r="C92" t="s">
        <v>212</v>
      </c>
      <c r="D92" t="s">
        <v>5</v>
      </c>
      <c r="E92" t="s">
        <v>7</v>
      </c>
      <c r="F92" t="s">
        <v>12</v>
      </c>
      <c r="G92" t="s">
        <v>14</v>
      </c>
    </row>
    <row r="93" spans="1:7" ht="12.75">
      <c r="A93">
        <v>11</v>
      </c>
      <c r="B93" t="s">
        <v>35</v>
      </c>
      <c r="C93" t="s">
        <v>62</v>
      </c>
      <c r="D93" t="s">
        <v>8</v>
      </c>
      <c r="E93" t="s">
        <v>50</v>
      </c>
      <c r="F93" t="s">
        <v>12</v>
      </c>
      <c r="G93" t="s">
        <v>13</v>
      </c>
    </row>
    <row r="94" spans="1:7" ht="12.75">
      <c r="A94">
        <v>11</v>
      </c>
      <c r="B94" t="s">
        <v>35</v>
      </c>
      <c r="C94" t="s">
        <v>214</v>
      </c>
      <c r="D94" t="s">
        <v>8</v>
      </c>
      <c r="E94" t="s">
        <v>50</v>
      </c>
      <c r="F94" t="s">
        <v>12</v>
      </c>
      <c r="G94" t="s">
        <v>13</v>
      </c>
    </row>
    <row r="95" spans="1:7" ht="12.75">
      <c r="A95">
        <v>11</v>
      </c>
      <c r="B95" t="s">
        <v>35</v>
      </c>
      <c r="C95" t="s">
        <v>213</v>
      </c>
      <c r="D95" t="s">
        <v>52</v>
      </c>
      <c r="E95" t="s">
        <v>50</v>
      </c>
      <c r="F95" t="s">
        <v>12</v>
      </c>
      <c r="G95" t="s">
        <v>13</v>
      </c>
    </row>
    <row r="96" spans="1:7" ht="12.75">
      <c r="A96">
        <v>11</v>
      </c>
      <c r="B96" t="s">
        <v>35</v>
      </c>
      <c r="C96" t="s">
        <v>215</v>
      </c>
      <c r="D96" t="s">
        <v>50</v>
      </c>
      <c r="E96" t="s">
        <v>6</v>
      </c>
      <c r="F96" t="s">
        <v>12</v>
      </c>
      <c r="G96" t="s">
        <v>14</v>
      </c>
    </row>
    <row r="97" spans="1:7" ht="12.75">
      <c r="A97">
        <v>11</v>
      </c>
      <c r="B97" t="s">
        <v>35</v>
      </c>
      <c r="C97" t="s">
        <v>216</v>
      </c>
      <c r="D97" t="s">
        <v>10</v>
      </c>
      <c r="E97" t="s">
        <v>7</v>
      </c>
      <c r="F97" t="s">
        <v>12</v>
      </c>
      <c r="G97" t="s">
        <v>14</v>
      </c>
    </row>
    <row r="98" spans="1:7" ht="12.75">
      <c r="A98">
        <v>11</v>
      </c>
      <c r="B98" t="s">
        <v>35</v>
      </c>
      <c r="C98" s="2" t="s">
        <v>217</v>
      </c>
      <c r="D98" t="s">
        <v>7</v>
      </c>
      <c r="E98" t="s">
        <v>63</v>
      </c>
      <c r="F98" t="s">
        <v>12</v>
      </c>
      <c r="G98" t="s">
        <v>13</v>
      </c>
    </row>
    <row r="99" spans="1:7" ht="12.75">
      <c r="A99">
        <v>12</v>
      </c>
      <c r="B99" t="s">
        <v>35</v>
      </c>
      <c r="C99" t="s">
        <v>218</v>
      </c>
      <c r="D99" t="s">
        <v>5</v>
      </c>
      <c r="E99" t="s">
        <v>9</v>
      </c>
      <c r="F99" t="s">
        <v>12</v>
      </c>
      <c r="G99" t="s">
        <v>13</v>
      </c>
    </row>
    <row r="100" spans="1:7" ht="12.75">
      <c r="A100">
        <v>12</v>
      </c>
      <c r="B100" t="s">
        <v>35</v>
      </c>
      <c r="C100" t="s">
        <v>219</v>
      </c>
      <c r="D100" t="s">
        <v>368</v>
      </c>
      <c r="E100" t="s">
        <v>369</v>
      </c>
      <c r="F100" t="s">
        <v>12</v>
      </c>
      <c r="G100" t="s">
        <v>13</v>
      </c>
    </row>
    <row r="101" spans="1:7" ht="12.75">
      <c r="A101">
        <v>12</v>
      </c>
      <c r="B101" t="s">
        <v>35</v>
      </c>
      <c r="C101" t="s">
        <v>220</v>
      </c>
      <c r="D101" t="s">
        <v>52</v>
      </c>
      <c r="E101" t="s">
        <v>382</v>
      </c>
      <c r="F101" t="s">
        <v>12</v>
      </c>
      <c r="G101" t="s">
        <v>14</v>
      </c>
    </row>
    <row r="102" spans="1:7" ht="12.75">
      <c r="A102" t="s">
        <v>482</v>
      </c>
      <c r="B102" t="s">
        <v>35</v>
      </c>
      <c r="C102" t="s">
        <v>286</v>
      </c>
      <c r="D102" t="s">
        <v>319</v>
      </c>
      <c r="E102" t="s">
        <v>8</v>
      </c>
      <c r="F102" t="s">
        <v>12</v>
      </c>
      <c r="G102" t="s">
        <v>13</v>
      </c>
    </row>
    <row r="103" spans="1:7" ht="12.75">
      <c r="A103" t="s">
        <v>482</v>
      </c>
      <c r="B103" t="s">
        <v>35</v>
      </c>
      <c r="C103" t="s">
        <v>221</v>
      </c>
      <c r="D103" t="s">
        <v>49</v>
      </c>
      <c r="E103" t="s">
        <v>9</v>
      </c>
      <c r="F103" t="s">
        <v>12</v>
      </c>
      <c r="G103" t="s">
        <v>14</v>
      </c>
    </row>
    <row r="104" spans="1:7" ht="12.75">
      <c r="A104" t="s">
        <v>482</v>
      </c>
      <c r="B104" t="s">
        <v>35</v>
      </c>
      <c r="C104" t="s">
        <v>222</v>
      </c>
      <c r="D104" t="s">
        <v>5</v>
      </c>
      <c r="E104" t="s">
        <v>8</v>
      </c>
      <c r="F104" t="s">
        <v>12</v>
      </c>
      <c r="G104" t="s">
        <v>14</v>
      </c>
    </row>
    <row r="105" spans="1:7" ht="12.75">
      <c r="A105" t="s">
        <v>482</v>
      </c>
      <c r="B105" t="s">
        <v>35</v>
      </c>
      <c r="C105" t="s">
        <v>223</v>
      </c>
      <c r="D105" t="s">
        <v>371</v>
      </c>
      <c r="E105" t="s">
        <v>8</v>
      </c>
      <c r="F105" t="s">
        <v>12</v>
      </c>
      <c r="G105" t="s">
        <v>14</v>
      </c>
    </row>
    <row r="106" spans="1:7" ht="12.75">
      <c r="A106" t="s">
        <v>482</v>
      </c>
      <c r="B106" t="s">
        <v>35</v>
      </c>
      <c r="C106" t="s">
        <v>225</v>
      </c>
      <c r="D106" t="s">
        <v>50</v>
      </c>
      <c r="E106" t="s">
        <v>52</v>
      </c>
      <c r="F106" t="s">
        <v>12</v>
      </c>
      <c r="G106" t="s">
        <v>14</v>
      </c>
    </row>
    <row r="107" spans="1:7" ht="12.75">
      <c r="A107" t="s">
        <v>482</v>
      </c>
      <c r="B107" t="s">
        <v>35</v>
      </c>
      <c r="C107" t="s">
        <v>227</v>
      </c>
      <c r="D107" t="s">
        <v>5</v>
      </c>
      <c r="E107" t="s">
        <v>9</v>
      </c>
      <c r="F107" t="s">
        <v>50</v>
      </c>
      <c r="G107" t="s">
        <v>13</v>
      </c>
    </row>
    <row r="108" spans="1:7" ht="12.75">
      <c r="A108">
        <v>11</v>
      </c>
      <c r="B108" t="s">
        <v>35</v>
      </c>
      <c r="C108" t="s">
        <v>228</v>
      </c>
      <c r="D108" t="s">
        <v>229</v>
      </c>
      <c r="E108" t="s">
        <v>50</v>
      </c>
      <c r="F108" t="s">
        <v>12</v>
      </c>
      <c r="G108" t="s">
        <v>13</v>
      </c>
    </row>
    <row r="109" spans="1:7" ht="12.75">
      <c r="A109" t="s">
        <v>482</v>
      </c>
      <c r="B109" t="s">
        <v>35</v>
      </c>
      <c r="C109" t="s">
        <v>230</v>
      </c>
      <c r="D109" t="s">
        <v>9</v>
      </c>
      <c r="E109" t="s">
        <v>6</v>
      </c>
      <c r="F109" t="s">
        <v>12</v>
      </c>
      <c r="G109" t="s">
        <v>14</v>
      </c>
    </row>
    <row r="110" spans="1:7" ht="12.75">
      <c r="A110" t="s">
        <v>482</v>
      </c>
      <c r="B110" t="s">
        <v>35</v>
      </c>
      <c r="C110" t="s">
        <v>232</v>
      </c>
      <c r="D110" t="s">
        <v>50</v>
      </c>
      <c r="E110" t="s">
        <v>9</v>
      </c>
      <c r="F110" t="s">
        <v>12</v>
      </c>
      <c r="G110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6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28125" style="2" bestFit="1" customWidth="1"/>
    <col min="2" max="2" width="9.140625" style="2" customWidth="1"/>
    <col min="3" max="3" width="45.140625" style="2" customWidth="1"/>
    <col min="4" max="7" width="9.140625" style="2" customWidth="1"/>
    <col min="8" max="8" width="61.28125" style="2" bestFit="1" customWidth="1"/>
    <col min="9" max="16384" width="9.140625" style="2" customWidth="1"/>
  </cols>
  <sheetData>
    <row r="1" ht="13.5" thickBot="1"/>
    <row r="2" spans="1:7" ht="14.25" thickBot="1" thickTop="1">
      <c r="A2" s="6" t="s">
        <v>711</v>
      </c>
      <c r="G2" s="12" t="s">
        <v>712</v>
      </c>
    </row>
    <row r="3" ht="13.5" thickTop="1"/>
    <row r="4" spans="1:7" ht="12.75">
      <c r="A4" s="2">
        <v>1</v>
      </c>
      <c r="B4" s="2" t="s">
        <v>561</v>
      </c>
      <c r="C4" s="2" t="s">
        <v>384</v>
      </c>
      <c r="D4" s="2" t="s">
        <v>319</v>
      </c>
      <c r="E4" s="2" t="s">
        <v>8</v>
      </c>
      <c r="F4" s="2" t="s">
        <v>12</v>
      </c>
      <c r="G4" s="2" t="s">
        <v>13</v>
      </c>
    </row>
    <row r="5" spans="1:7" ht="12.75">
      <c r="A5" s="2">
        <v>1</v>
      </c>
      <c r="B5" s="2" t="s">
        <v>561</v>
      </c>
      <c r="C5" s="2" t="s">
        <v>536</v>
      </c>
      <c r="D5" s="2" t="s">
        <v>50</v>
      </c>
      <c r="E5" s="2" t="s">
        <v>9</v>
      </c>
      <c r="F5" s="2" t="s">
        <v>12</v>
      </c>
      <c r="G5" s="2" t="s">
        <v>13</v>
      </c>
    </row>
    <row r="6" spans="1:7" ht="12.75">
      <c r="A6" s="2">
        <v>1</v>
      </c>
      <c r="B6" s="2" t="s">
        <v>561</v>
      </c>
      <c r="C6" s="2" t="s">
        <v>537</v>
      </c>
      <c r="D6" s="2" t="s">
        <v>8</v>
      </c>
      <c r="E6" s="2" t="s">
        <v>6</v>
      </c>
      <c r="F6" s="2" t="s">
        <v>12</v>
      </c>
      <c r="G6" s="2" t="s">
        <v>13</v>
      </c>
    </row>
    <row r="7" spans="1:7" ht="12.75">
      <c r="A7" s="2">
        <v>2</v>
      </c>
      <c r="B7" s="2" t="s">
        <v>561</v>
      </c>
      <c r="C7" s="2" t="s">
        <v>511</v>
      </c>
      <c r="D7" s="2" t="s">
        <v>6</v>
      </c>
      <c r="E7" s="2" t="s">
        <v>8</v>
      </c>
      <c r="F7" s="2" t="s">
        <v>12</v>
      </c>
      <c r="G7" s="2" t="s">
        <v>13</v>
      </c>
    </row>
    <row r="8" spans="1:7" ht="12.75">
      <c r="A8" s="2">
        <v>2</v>
      </c>
      <c r="B8" s="2" t="s">
        <v>561</v>
      </c>
      <c r="C8" s="2" t="s">
        <v>538</v>
      </c>
      <c r="D8" s="2" t="s">
        <v>562</v>
      </c>
      <c r="E8" s="2" t="s">
        <v>322</v>
      </c>
      <c r="F8" s="2" t="s">
        <v>12</v>
      </c>
      <c r="G8" s="2" t="s">
        <v>13</v>
      </c>
    </row>
    <row r="9" spans="1:7" ht="12.75">
      <c r="A9" s="2">
        <v>3</v>
      </c>
      <c r="B9" s="2" t="s">
        <v>561</v>
      </c>
      <c r="C9" s="2" t="s">
        <v>539</v>
      </c>
      <c r="D9" s="2" t="s">
        <v>5</v>
      </c>
      <c r="E9" s="2" t="s">
        <v>10</v>
      </c>
      <c r="F9" s="2" t="s">
        <v>12</v>
      </c>
      <c r="G9" s="2" t="s">
        <v>14</v>
      </c>
    </row>
    <row r="10" spans="1:7" ht="12.75">
      <c r="A10" s="2">
        <v>3</v>
      </c>
      <c r="B10" s="2" t="s">
        <v>561</v>
      </c>
      <c r="C10" s="2" t="s">
        <v>540</v>
      </c>
      <c r="D10" s="2" t="s">
        <v>6</v>
      </c>
      <c r="E10" s="2" t="s">
        <v>5</v>
      </c>
      <c r="F10" s="2" t="s">
        <v>12</v>
      </c>
      <c r="G10" s="2" t="s">
        <v>13</v>
      </c>
    </row>
    <row r="11" spans="1:7" ht="12.75">
      <c r="A11" s="2">
        <v>4</v>
      </c>
      <c r="B11" s="2" t="s">
        <v>561</v>
      </c>
      <c r="C11" s="2" t="s">
        <v>541</v>
      </c>
      <c r="D11" s="2" t="s">
        <v>5</v>
      </c>
      <c r="E11" s="2" t="s">
        <v>6</v>
      </c>
      <c r="F11" s="2" t="s">
        <v>12</v>
      </c>
      <c r="G11" s="2" t="s">
        <v>13</v>
      </c>
    </row>
    <row r="12" spans="1:7" ht="12.75">
      <c r="A12" s="2">
        <v>4</v>
      </c>
      <c r="B12" s="2" t="s">
        <v>561</v>
      </c>
      <c r="C12" s="2" t="s">
        <v>542</v>
      </c>
      <c r="D12" s="2" t="s">
        <v>7</v>
      </c>
      <c r="E12" s="2" t="s">
        <v>5</v>
      </c>
      <c r="F12" s="2" t="s">
        <v>12</v>
      </c>
      <c r="G12" s="2" t="s">
        <v>13</v>
      </c>
    </row>
    <row r="13" spans="1:7" ht="12.75">
      <c r="A13" s="2">
        <v>4</v>
      </c>
      <c r="B13" s="2" t="s">
        <v>561</v>
      </c>
      <c r="C13" s="2" t="s">
        <v>543</v>
      </c>
      <c r="D13" s="2" t="s">
        <v>5</v>
      </c>
      <c r="E13" s="2" t="s">
        <v>8</v>
      </c>
      <c r="F13" s="2" t="s">
        <v>12</v>
      </c>
      <c r="G13" s="2" t="s">
        <v>13</v>
      </c>
    </row>
    <row r="14" spans="1:7" ht="12.75">
      <c r="A14" s="2">
        <v>5</v>
      </c>
      <c r="B14" s="2" t="s">
        <v>561</v>
      </c>
      <c r="C14" s="2" t="s">
        <v>544</v>
      </c>
      <c r="D14" s="2" t="s">
        <v>8</v>
      </c>
      <c r="E14" s="2" t="s">
        <v>10</v>
      </c>
      <c r="F14" s="2" t="s">
        <v>12</v>
      </c>
      <c r="G14" s="2" t="s">
        <v>13</v>
      </c>
    </row>
    <row r="15" spans="1:7" ht="12.75">
      <c r="A15" s="2">
        <v>5</v>
      </c>
      <c r="B15" s="2" t="s">
        <v>561</v>
      </c>
      <c r="C15" s="2" t="s">
        <v>545</v>
      </c>
      <c r="D15" s="2" t="s">
        <v>8</v>
      </c>
      <c r="E15" s="2" t="s">
        <v>7</v>
      </c>
      <c r="F15" s="2" t="s">
        <v>12</v>
      </c>
      <c r="G15" s="2" t="s">
        <v>13</v>
      </c>
    </row>
    <row r="16" spans="1:7" ht="12.75">
      <c r="A16" s="2">
        <v>5</v>
      </c>
      <c r="B16" s="2" t="s">
        <v>561</v>
      </c>
      <c r="C16" s="2" t="s">
        <v>546</v>
      </c>
      <c r="D16" s="2" t="s">
        <v>9</v>
      </c>
      <c r="E16" s="2" t="s">
        <v>7</v>
      </c>
      <c r="F16" s="2" t="s">
        <v>12</v>
      </c>
      <c r="G16" s="2" t="s">
        <v>13</v>
      </c>
    </row>
    <row r="17" spans="1:7" ht="12.75">
      <c r="A17" s="2">
        <v>6</v>
      </c>
      <c r="B17" s="2" t="s">
        <v>561</v>
      </c>
      <c r="C17" s="2" t="s">
        <v>547</v>
      </c>
      <c r="D17" s="2" t="s">
        <v>5</v>
      </c>
      <c r="E17" s="2" t="s">
        <v>9</v>
      </c>
      <c r="F17" s="2" t="s">
        <v>12</v>
      </c>
      <c r="G17" s="2" t="s">
        <v>13</v>
      </c>
    </row>
    <row r="18" spans="1:7" ht="12.75">
      <c r="A18" s="2">
        <v>6</v>
      </c>
      <c r="B18" s="2" t="s">
        <v>561</v>
      </c>
      <c r="C18" s="2" t="s">
        <v>548</v>
      </c>
      <c r="D18" s="2" t="s">
        <v>337</v>
      </c>
      <c r="E18" s="2" t="s">
        <v>8</v>
      </c>
      <c r="F18" s="2" t="s">
        <v>12</v>
      </c>
      <c r="G18" s="2" t="s">
        <v>13</v>
      </c>
    </row>
    <row r="19" spans="1:7" ht="12.75">
      <c r="A19" s="2">
        <v>6</v>
      </c>
      <c r="B19" s="2" t="s">
        <v>561</v>
      </c>
      <c r="C19" s="2" t="s">
        <v>549</v>
      </c>
      <c r="D19" s="2" t="s">
        <v>50</v>
      </c>
      <c r="E19" s="2" t="s">
        <v>8</v>
      </c>
      <c r="F19" s="2" t="s">
        <v>12</v>
      </c>
      <c r="G19" s="2" t="s">
        <v>13</v>
      </c>
    </row>
    <row r="20" spans="1:7" ht="12.75">
      <c r="A20" s="2">
        <v>7</v>
      </c>
      <c r="B20" s="2" t="s">
        <v>561</v>
      </c>
      <c r="C20" s="2" t="s">
        <v>550</v>
      </c>
      <c r="D20" s="2" t="s">
        <v>7</v>
      </c>
      <c r="E20" s="2" t="s">
        <v>11</v>
      </c>
      <c r="F20" s="2" t="s">
        <v>12</v>
      </c>
      <c r="G20" s="2" t="s">
        <v>13</v>
      </c>
    </row>
    <row r="21" spans="1:7" ht="12.75">
      <c r="A21" s="2">
        <v>7</v>
      </c>
      <c r="B21" s="2" t="s">
        <v>561</v>
      </c>
      <c r="C21" s="2" t="s">
        <v>551</v>
      </c>
      <c r="D21" s="2" t="s">
        <v>9</v>
      </c>
      <c r="E21" s="2" t="s">
        <v>10</v>
      </c>
      <c r="F21" s="2" t="s">
        <v>12</v>
      </c>
      <c r="G21" s="2" t="s">
        <v>13</v>
      </c>
    </row>
    <row r="22" spans="1:7" ht="12.75">
      <c r="A22" s="2">
        <v>8</v>
      </c>
      <c r="B22" s="2" t="s">
        <v>561</v>
      </c>
      <c r="C22" s="2" t="s">
        <v>380</v>
      </c>
      <c r="D22" s="2" t="s">
        <v>8</v>
      </c>
      <c r="E22" s="2" t="s">
        <v>267</v>
      </c>
      <c r="F22" s="2" t="s">
        <v>12</v>
      </c>
      <c r="G22" s="2" t="s">
        <v>13</v>
      </c>
    </row>
    <row r="23" spans="1:7" ht="12.75">
      <c r="A23" s="2">
        <v>8</v>
      </c>
      <c r="B23" s="2" t="s">
        <v>561</v>
      </c>
      <c r="C23" s="2" t="s">
        <v>552</v>
      </c>
      <c r="D23" s="2" t="s">
        <v>5</v>
      </c>
      <c r="E23" s="2" t="s">
        <v>563</v>
      </c>
      <c r="F23" s="2" t="s">
        <v>12</v>
      </c>
      <c r="G23" s="2" t="s">
        <v>13</v>
      </c>
    </row>
    <row r="24" spans="1:7" ht="12.75">
      <c r="A24" s="2">
        <v>9</v>
      </c>
      <c r="B24" s="2" t="s">
        <v>561</v>
      </c>
      <c r="C24" s="2" t="s">
        <v>553</v>
      </c>
      <c r="D24" s="2" t="s">
        <v>8</v>
      </c>
      <c r="E24" s="2" t="s">
        <v>50</v>
      </c>
      <c r="F24" s="2" t="s">
        <v>12</v>
      </c>
      <c r="G24" s="2" t="s">
        <v>13</v>
      </c>
    </row>
    <row r="25" spans="1:7" ht="12.75">
      <c r="A25" s="2">
        <v>9</v>
      </c>
      <c r="B25" s="2" t="s">
        <v>561</v>
      </c>
      <c r="C25" s="2" t="s">
        <v>271</v>
      </c>
      <c r="D25" s="2" t="s">
        <v>5</v>
      </c>
      <c r="E25" s="2" t="s">
        <v>272</v>
      </c>
      <c r="F25" s="2" t="s">
        <v>12</v>
      </c>
      <c r="G25" s="2" t="s">
        <v>13</v>
      </c>
    </row>
    <row r="26" spans="1:7" ht="12.75">
      <c r="A26" s="2">
        <v>9</v>
      </c>
      <c r="B26" s="2" t="s">
        <v>561</v>
      </c>
      <c r="C26" s="2" t="s">
        <v>554</v>
      </c>
      <c r="D26" s="2" t="s">
        <v>266</v>
      </c>
      <c r="E26" s="2" t="s">
        <v>268</v>
      </c>
      <c r="F26" s="2" t="s">
        <v>12</v>
      </c>
      <c r="G26" s="2" t="s">
        <v>13</v>
      </c>
    </row>
    <row r="27" spans="1:7" ht="12.75">
      <c r="A27" s="2">
        <v>10</v>
      </c>
      <c r="B27" s="2" t="s">
        <v>561</v>
      </c>
      <c r="C27" s="2" t="s">
        <v>263</v>
      </c>
      <c r="D27" s="2" t="s">
        <v>7</v>
      </c>
      <c r="E27" s="2" t="s">
        <v>8</v>
      </c>
      <c r="F27" s="2" t="s">
        <v>12</v>
      </c>
      <c r="G27" s="2" t="s">
        <v>13</v>
      </c>
    </row>
    <row r="28" spans="1:7" ht="12.75">
      <c r="A28" s="2">
        <v>10</v>
      </c>
      <c r="B28" s="2" t="s">
        <v>561</v>
      </c>
      <c r="C28" s="2" t="s">
        <v>555</v>
      </c>
      <c r="D28" s="2" t="s">
        <v>65</v>
      </c>
      <c r="E28" s="2" t="s">
        <v>564</v>
      </c>
      <c r="F28" s="2" t="s">
        <v>12</v>
      </c>
      <c r="G28" s="2" t="s">
        <v>13</v>
      </c>
    </row>
    <row r="29" spans="1:7" ht="12.75">
      <c r="A29" s="2">
        <v>10</v>
      </c>
      <c r="B29" s="2" t="s">
        <v>561</v>
      </c>
      <c r="C29" s="2" t="s">
        <v>565</v>
      </c>
      <c r="D29" s="2" t="s">
        <v>5</v>
      </c>
      <c r="E29" s="2" t="s">
        <v>49</v>
      </c>
      <c r="F29" s="2" t="s">
        <v>12</v>
      </c>
      <c r="G29" s="2" t="s">
        <v>13</v>
      </c>
    </row>
    <row r="30" spans="1:7" ht="12.75">
      <c r="A30" s="2">
        <v>10</v>
      </c>
      <c r="B30" s="2" t="s">
        <v>561</v>
      </c>
      <c r="C30" s="2" t="s">
        <v>556</v>
      </c>
      <c r="D30" s="2" t="s">
        <v>5</v>
      </c>
      <c r="E30" s="2" t="s">
        <v>8</v>
      </c>
      <c r="F30" s="2" t="s">
        <v>12</v>
      </c>
      <c r="G30" s="2" t="s">
        <v>13</v>
      </c>
    </row>
    <row r="31" spans="1:7" ht="12.75">
      <c r="A31" s="2">
        <v>10</v>
      </c>
      <c r="B31" s="2" t="s">
        <v>561</v>
      </c>
      <c r="C31" s="2" t="s">
        <v>557</v>
      </c>
      <c r="D31" s="2" t="s">
        <v>52</v>
      </c>
      <c r="E31" s="2" t="s">
        <v>382</v>
      </c>
      <c r="F31" s="2" t="s">
        <v>12</v>
      </c>
      <c r="G31" s="2" t="s">
        <v>13</v>
      </c>
    </row>
    <row r="32" spans="1:7" ht="12.75">
      <c r="A32" s="2">
        <v>11</v>
      </c>
      <c r="B32" s="2" t="s">
        <v>561</v>
      </c>
      <c r="C32" s="2" t="s">
        <v>62</v>
      </c>
      <c r="D32" s="2" t="s">
        <v>303</v>
      </c>
      <c r="E32" s="2" t="s">
        <v>8</v>
      </c>
      <c r="F32" s="2" t="s">
        <v>12</v>
      </c>
      <c r="G32" s="2" t="s">
        <v>13</v>
      </c>
    </row>
    <row r="33" spans="1:7" ht="12.75">
      <c r="A33" s="2">
        <v>11</v>
      </c>
      <c r="B33" s="2" t="s">
        <v>561</v>
      </c>
      <c r="C33" s="2" t="s">
        <v>558</v>
      </c>
      <c r="D33" s="2" t="s">
        <v>49</v>
      </c>
      <c r="E33" s="2" t="s">
        <v>6</v>
      </c>
      <c r="F33" s="2" t="s">
        <v>12</v>
      </c>
      <c r="G33" s="2" t="s">
        <v>14</v>
      </c>
    </row>
    <row r="34" spans="1:7" ht="12.75">
      <c r="A34" s="2">
        <v>12</v>
      </c>
      <c r="B34" s="2" t="s">
        <v>561</v>
      </c>
      <c r="C34" s="2" t="s">
        <v>559</v>
      </c>
      <c r="D34" s="2" t="s">
        <v>304</v>
      </c>
      <c r="E34" s="2" t="s">
        <v>382</v>
      </c>
      <c r="F34" s="2" t="s">
        <v>12</v>
      </c>
      <c r="G34" s="2" t="s">
        <v>13</v>
      </c>
    </row>
    <row r="35" spans="1:7" ht="12.75">
      <c r="A35" s="2">
        <v>12</v>
      </c>
      <c r="B35" s="2" t="s">
        <v>561</v>
      </c>
      <c r="C35" s="2" t="s">
        <v>560</v>
      </c>
      <c r="D35" s="2" t="s">
        <v>566</v>
      </c>
      <c r="E35" s="2" t="s">
        <v>369</v>
      </c>
      <c r="F35" s="2" t="s">
        <v>12</v>
      </c>
      <c r="G35" s="2" t="s">
        <v>13</v>
      </c>
    </row>
    <row r="60" ht="12.75">
      <c r="C60" s="3"/>
    </row>
    <row r="62" ht="12.75">
      <c r="C62" s="3"/>
    </row>
    <row r="67" ht="12.75">
      <c r="C67" s="3"/>
    </row>
    <row r="69" ht="12.75">
      <c r="C69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64"/>
  <sheetViews>
    <sheetView zoomScalePageLayoutView="0" workbookViewId="0" topLeftCell="A30">
      <selection activeCell="C2" sqref="C2"/>
    </sheetView>
  </sheetViews>
  <sheetFormatPr defaultColWidth="9.140625" defaultRowHeight="12.75"/>
  <cols>
    <col min="1" max="1" width="2.00390625" style="0" bestFit="1" customWidth="1"/>
    <col min="2" max="2" width="9.7109375" style="0" bestFit="1" customWidth="1"/>
    <col min="3" max="3" width="57.421875" style="0" customWidth="1"/>
    <col min="4" max="4" width="9.28125" style="0" bestFit="1" customWidth="1"/>
    <col min="5" max="5" width="9.00390625" style="0" bestFit="1" customWidth="1"/>
    <col min="6" max="6" width="4.7109375" style="0" bestFit="1" customWidth="1"/>
    <col min="7" max="7" width="7.28125" style="0" bestFit="1" customWidth="1"/>
    <col min="8" max="9" width="7.57421875" style="0" bestFit="1" customWidth="1"/>
  </cols>
  <sheetData>
    <row r="2" ht="12.75">
      <c r="C2" s="6" t="s">
        <v>780</v>
      </c>
    </row>
    <row r="4" spans="3:9" ht="12.75">
      <c r="C4" s="2" t="s">
        <v>803</v>
      </c>
      <c r="D4" t="s">
        <v>6</v>
      </c>
      <c r="E4" t="s">
        <v>8</v>
      </c>
      <c r="F4" t="s">
        <v>12</v>
      </c>
      <c r="G4" t="s">
        <v>14</v>
      </c>
      <c r="H4" t="str">
        <f>Report!H6</f>
        <v>27CP53</v>
      </c>
      <c r="I4" t="str">
        <f>Report!I6</f>
        <v>2SA7</v>
      </c>
    </row>
    <row r="5" spans="2:10" ht="12.75">
      <c r="B5" s="2" t="s">
        <v>799</v>
      </c>
      <c r="C5" s="2" t="s">
        <v>800</v>
      </c>
      <c r="D5" t="s">
        <v>6</v>
      </c>
      <c r="E5" t="s">
        <v>8</v>
      </c>
      <c r="F5" t="s">
        <v>12</v>
      </c>
      <c r="G5" t="s">
        <v>14</v>
      </c>
      <c r="J5" s="2"/>
    </row>
    <row r="6" spans="2:7" ht="12.75">
      <c r="B6" t="s">
        <v>305</v>
      </c>
      <c r="C6" t="s">
        <v>306</v>
      </c>
      <c r="D6" t="s">
        <v>6</v>
      </c>
      <c r="E6" t="s">
        <v>8</v>
      </c>
      <c r="F6" t="s">
        <v>12</v>
      </c>
      <c r="G6" t="s">
        <v>14</v>
      </c>
    </row>
    <row r="7" spans="2:7" ht="12.75">
      <c r="B7" t="s">
        <v>269</v>
      </c>
      <c r="C7" t="s">
        <v>781</v>
      </c>
      <c r="D7" t="s">
        <v>6</v>
      </c>
      <c r="E7" t="s">
        <v>8</v>
      </c>
      <c r="F7" t="s">
        <v>12</v>
      </c>
      <c r="G7" t="s">
        <v>14</v>
      </c>
    </row>
    <row r="8" spans="2:7" ht="12.75">
      <c r="B8" t="s">
        <v>15</v>
      </c>
      <c r="C8" t="s">
        <v>643</v>
      </c>
      <c r="D8" t="s">
        <v>6</v>
      </c>
      <c r="E8" t="s">
        <v>8</v>
      </c>
      <c r="F8" t="s">
        <v>12</v>
      </c>
      <c r="G8" t="s">
        <v>14</v>
      </c>
    </row>
    <row r="9" spans="2:7" ht="12.75">
      <c r="B9" t="s">
        <v>61</v>
      </c>
      <c r="C9" t="s">
        <v>647</v>
      </c>
      <c r="D9" t="s">
        <v>6</v>
      </c>
      <c r="E9" t="s">
        <v>8</v>
      </c>
      <c r="F9" t="s">
        <v>12</v>
      </c>
      <c r="G9" t="s">
        <v>14</v>
      </c>
    </row>
    <row r="10" spans="2:7" ht="12.75">
      <c r="B10" t="s">
        <v>35</v>
      </c>
      <c r="C10" t="s">
        <v>647</v>
      </c>
      <c r="D10" t="s">
        <v>6</v>
      </c>
      <c r="E10" t="s">
        <v>8</v>
      </c>
      <c r="F10" t="s">
        <v>12</v>
      </c>
      <c r="G10" t="s">
        <v>14</v>
      </c>
    </row>
    <row r="12" spans="3:9" ht="12.75">
      <c r="C12" s="2" t="s">
        <v>802</v>
      </c>
      <c r="D12" t="s">
        <v>8</v>
      </c>
      <c r="E12" t="s">
        <v>6</v>
      </c>
      <c r="F12" t="s">
        <v>12</v>
      </c>
      <c r="G12" t="s">
        <v>14</v>
      </c>
      <c r="H12" t="str">
        <f>Report!H7</f>
        <v>1SA37</v>
      </c>
      <c r="I12" t="str">
        <f>Report!I7</f>
        <v>28CP23</v>
      </c>
    </row>
    <row r="13" spans="2:7" ht="12.75">
      <c r="B13" s="2" t="s">
        <v>799</v>
      </c>
      <c r="C13" s="2" t="s">
        <v>801</v>
      </c>
      <c r="D13" t="s">
        <v>8</v>
      </c>
      <c r="E13" t="s">
        <v>6</v>
      </c>
      <c r="F13" t="s">
        <v>12</v>
      </c>
      <c r="G13" t="s">
        <v>14</v>
      </c>
    </row>
    <row r="14" spans="2:7" ht="12.75">
      <c r="B14" t="s">
        <v>305</v>
      </c>
      <c r="C14" t="s">
        <v>307</v>
      </c>
      <c r="D14" t="s">
        <v>8</v>
      </c>
      <c r="E14" t="s">
        <v>6</v>
      </c>
      <c r="F14" t="s">
        <v>12</v>
      </c>
      <c r="G14" t="s">
        <v>14</v>
      </c>
    </row>
    <row r="15" spans="2:7" ht="12.75">
      <c r="B15" t="s">
        <v>305</v>
      </c>
      <c r="C15" t="s">
        <v>308</v>
      </c>
      <c r="D15" t="s">
        <v>8</v>
      </c>
      <c r="E15" t="s">
        <v>6</v>
      </c>
      <c r="F15" t="s">
        <v>12</v>
      </c>
      <c r="G15" t="s">
        <v>14</v>
      </c>
    </row>
    <row r="16" spans="2:7" ht="12.75">
      <c r="B16" t="s">
        <v>269</v>
      </c>
      <c r="C16" t="s">
        <v>782</v>
      </c>
      <c r="D16" t="s">
        <v>8</v>
      </c>
      <c r="E16" t="s">
        <v>6</v>
      </c>
      <c r="F16" t="s">
        <v>12</v>
      </c>
      <c r="G16" t="s">
        <v>14</v>
      </c>
    </row>
    <row r="17" spans="2:7" ht="12.75">
      <c r="B17" t="s">
        <v>15</v>
      </c>
      <c r="C17" t="s">
        <v>644</v>
      </c>
      <c r="D17" t="s">
        <v>8</v>
      </c>
      <c r="E17" t="s">
        <v>6</v>
      </c>
      <c r="F17" t="s">
        <v>12</v>
      </c>
      <c r="G17" t="s">
        <v>14</v>
      </c>
    </row>
    <row r="18" spans="2:7" ht="12.75">
      <c r="B18" t="s">
        <v>61</v>
      </c>
      <c r="C18" t="s">
        <v>783</v>
      </c>
      <c r="D18" t="s">
        <v>8</v>
      </c>
      <c r="E18" t="s">
        <v>6</v>
      </c>
      <c r="F18" t="s">
        <v>12</v>
      </c>
      <c r="G18" t="s">
        <v>14</v>
      </c>
    </row>
    <row r="19" spans="2:7" ht="12.75">
      <c r="B19" t="s">
        <v>35</v>
      </c>
      <c r="C19" t="s">
        <v>784</v>
      </c>
      <c r="D19" t="s">
        <v>8</v>
      </c>
      <c r="E19" t="s">
        <v>6</v>
      </c>
      <c r="F19" t="s">
        <v>12</v>
      </c>
      <c r="G19" t="s">
        <v>14</v>
      </c>
    </row>
    <row r="21" ht="12.75">
      <c r="C21" s="2" t="s">
        <v>1146</v>
      </c>
    </row>
    <row r="22" spans="2:9" ht="12.75">
      <c r="B22" t="s">
        <v>410</v>
      </c>
      <c r="C22" t="s">
        <v>424</v>
      </c>
      <c r="D22" s="2" t="s">
        <v>797</v>
      </c>
      <c r="E22" t="s">
        <v>7</v>
      </c>
      <c r="F22" t="s">
        <v>12</v>
      </c>
      <c r="G22" t="s">
        <v>14</v>
      </c>
      <c r="H22" t="str">
        <f>Report!H8</f>
        <v>24LE4</v>
      </c>
      <c r="I22" t="str">
        <f>Report!I8</f>
        <v>5TA56</v>
      </c>
    </row>
    <row r="24" spans="3:9" ht="12.75">
      <c r="C24" s="2" t="s">
        <v>805</v>
      </c>
      <c r="D24" s="2" t="s">
        <v>796</v>
      </c>
      <c r="E24" s="2" t="s">
        <v>797</v>
      </c>
      <c r="F24" t="s">
        <v>12</v>
      </c>
      <c r="G24" t="s">
        <v>14</v>
      </c>
      <c r="H24" t="str">
        <f>Report!H9</f>
        <v>26AQ1</v>
      </c>
      <c r="I24" t="str">
        <f>Report!I9</f>
        <v>3SC59</v>
      </c>
    </row>
    <row r="25" spans="2:7" ht="12.75">
      <c r="B25" s="2" t="s">
        <v>799</v>
      </c>
      <c r="C25" s="2" t="s">
        <v>822</v>
      </c>
      <c r="D25" s="2" t="s">
        <v>796</v>
      </c>
      <c r="E25" s="2" t="s">
        <v>797</v>
      </c>
      <c r="F25" s="2" t="s">
        <v>12</v>
      </c>
      <c r="G25" s="2" t="s">
        <v>14</v>
      </c>
    </row>
    <row r="26" spans="2:7" ht="12.75">
      <c r="B26" t="s">
        <v>305</v>
      </c>
      <c r="C26" t="s">
        <v>309</v>
      </c>
      <c r="D26" s="2" t="s">
        <v>796</v>
      </c>
      <c r="E26" s="2" t="s">
        <v>797</v>
      </c>
      <c r="F26" t="s">
        <v>12</v>
      </c>
      <c r="G26" t="s">
        <v>14</v>
      </c>
    </row>
    <row r="27" spans="2:7" ht="12.75">
      <c r="B27" t="s">
        <v>305</v>
      </c>
      <c r="C27" t="s">
        <v>312</v>
      </c>
      <c r="D27" s="2" t="s">
        <v>796</v>
      </c>
      <c r="E27" s="2" t="s">
        <v>797</v>
      </c>
      <c r="F27" t="s">
        <v>12</v>
      </c>
      <c r="G27" t="s">
        <v>14</v>
      </c>
    </row>
    <row r="28" spans="2:7" ht="12.75">
      <c r="B28" t="s">
        <v>269</v>
      </c>
      <c r="C28" t="s">
        <v>792</v>
      </c>
      <c r="D28" s="2" t="s">
        <v>796</v>
      </c>
      <c r="E28" s="2" t="s">
        <v>797</v>
      </c>
      <c r="F28" t="s">
        <v>12</v>
      </c>
      <c r="G28" t="s">
        <v>14</v>
      </c>
    </row>
    <row r="29" spans="2:7" ht="12.75">
      <c r="B29" t="s">
        <v>15</v>
      </c>
      <c r="C29" t="s">
        <v>387</v>
      </c>
      <c r="D29" s="2" t="s">
        <v>796</v>
      </c>
      <c r="E29" s="2" t="s">
        <v>797</v>
      </c>
      <c r="F29" t="s">
        <v>12</v>
      </c>
      <c r="G29" t="s">
        <v>14</v>
      </c>
    </row>
    <row r="30" spans="2:7" ht="12.75">
      <c r="B30" t="s">
        <v>61</v>
      </c>
      <c r="C30" t="s">
        <v>793</v>
      </c>
      <c r="D30" s="2" t="s">
        <v>796</v>
      </c>
      <c r="E30" s="2" t="s">
        <v>797</v>
      </c>
      <c r="F30" t="s">
        <v>12</v>
      </c>
      <c r="G30" t="s">
        <v>14</v>
      </c>
    </row>
    <row r="31" spans="2:7" ht="12.75">
      <c r="B31" t="s">
        <v>35</v>
      </c>
      <c r="C31" t="s">
        <v>388</v>
      </c>
      <c r="D31" s="2" t="s">
        <v>796</v>
      </c>
      <c r="E31" s="2" t="s">
        <v>797</v>
      </c>
      <c r="F31" t="s">
        <v>12</v>
      </c>
      <c r="G31" t="s">
        <v>14</v>
      </c>
    </row>
    <row r="33" ht="12.75">
      <c r="C33" s="2" t="s">
        <v>1145</v>
      </c>
    </row>
    <row r="34" spans="2:9" ht="12.75">
      <c r="B34" t="s">
        <v>410</v>
      </c>
      <c r="C34" t="s">
        <v>478</v>
      </c>
      <c r="D34" t="s">
        <v>50</v>
      </c>
      <c r="E34" s="2" t="s">
        <v>796</v>
      </c>
      <c r="F34" t="s">
        <v>12</v>
      </c>
      <c r="G34" t="s">
        <v>14</v>
      </c>
      <c r="H34" t="str">
        <f>Report!H10</f>
        <v>11AQ58</v>
      </c>
      <c r="I34" t="str">
        <f>Report!I10</f>
        <v>18SC2</v>
      </c>
    </row>
    <row r="36" spans="3:9" ht="12.75">
      <c r="C36" s="2" t="s">
        <v>809</v>
      </c>
      <c r="D36" s="2" t="s">
        <v>797</v>
      </c>
      <c r="E36" s="2" t="s">
        <v>796</v>
      </c>
      <c r="F36" t="s">
        <v>12</v>
      </c>
      <c r="G36" t="s">
        <v>14</v>
      </c>
      <c r="H36" t="str">
        <f>Report!H11</f>
        <v>3SC29</v>
      </c>
      <c r="I36" t="str">
        <f>Report!I11</f>
        <v>26AQ31</v>
      </c>
    </row>
    <row r="37" spans="2:5" ht="12.75">
      <c r="B37" s="2" t="s">
        <v>799</v>
      </c>
      <c r="C37" s="2" t="s">
        <v>810</v>
      </c>
      <c r="D37" s="2"/>
      <c r="E37" s="2"/>
    </row>
    <row r="38" spans="2:7" ht="12.75">
      <c r="B38" t="s">
        <v>305</v>
      </c>
      <c r="C38" t="s">
        <v>314</v>
      </c>
      <c r="D38" s="2" t="s">
        <v>797</v>
      </c>
      <c r="E38" s="2" t="s">
        <v>796</v>
      </c>
      <c r="F38" t="s">
        <v>12</v>
      </c>
      <c r="G38" t="s">
        <v>14</v>
      </c>
    </row>
    <row r="39" spans="2:7" ht="12.75">
      <c r="B39" t="s">
        <v>269</v>
      </c>
      <c r="C39" t="s">
        <v>790</v>
      </c>
      <c r="D39" s="2" t="s">
        <v>797</v>
      </c>
      <c r="E39" s="2" t="s">
        <v>796</v>
      </c>
      <c r="F39" t="s">
        <v>12</v>
      </c>
      <c r="G39" t="s">
        <v>14</v>
      </c>
    </row>
    <row r="40" spans="2:7" ht="12.75">
      <c r="B40" t="s">
        <v>15</v>
      </c>
      <c r="C40" t="s">
        <v>385</v>
      </c>
      <c r="D40" s="2" t="s">
        <v>797</v>
      </c>
      <c r="E40" s="2" t="s">
        <v>796</v>
      </c>
      <c r="F40" t="s">
        <v>12</v>
      </c>
      <c r="G40" t="s">
        <v>14</v>
      </c>
    </row>
    <row r="41" spans="2:7" ht="12.75">
      <c r="B41" t="s">
        <v>35</v>
      </c>
      <c r="C41" t="s">
        <v>791</v>
      </c>
      <c r="D41" s="2" t="s">
        <v>797</v>
      </c>
      <c r="E41" s="2" t="s">
        <v>796</v>
      </c>
      <c r="F41" t="s">
        <v>12</v>
      </c>
      <c r="G41" t="s">
        <v>14</v>
      </c>
    </row>
    <row r="43" spans="3:9" ht="12.75">
      <c r="C43" s="2" t="s">
        <v>813</v>
      </c>
      <c r="D43" t="s">
        <v>9</v>
      </c>
      <c r="E43" s="2" t="s">
        <v>796</v>
      </c>
      <c r="F43" t="s">
        <v>12</v>
      </c>
      <c r="G43" t="s">
        <v>14</v>
      </c>
      <c r="H43" t="str">
        <f>Report!H12</f>
        <v>27VI20</v>
      </c>
      <c r="I43" t="str">
        <f>Report!I12</f>
        <v>2AR40</v>
      </c>
    </row>
    <row r="44" spans="2:7" ht="12.75">
      <c r="B44" s="2" t="s">
        <v>799</v>
      </c>
      <c r="C44" s="2" t="s">
        <v>814</v>
      </c>
      <c r="D44" t="s">
        <v>9</v>
      </c>
      <c r="E44" s="2" t="s">
        <v>796</v>
      </c>
      <c r="F44" t="s">
        <v>12</v>
      </c>
      <c r="G44" t="s">
        <v>14</v>
      </c>
    </row>
    <row r="45" spans="2:7" ht="12.75">
      <c r="B45" t="s">
        <v>305</v>
      </c>
      <c r="C45" t="s">
        <v>313</v>
      </c>
      <c r="D45" t="s">
        <v>9</v>
      </c>
      <c r="E45" s="2" t="s">
        <v>796</v>
      </c>
      <c r="F45" t="s">
        <v>12</v>
      </c>
      <c r="G45" t="s">
        <v>288</v>
      </c>
    </row>
    <row r="46" spans="2:7" ht="12.75">
      <c r="B46" t="s">
        <v>284</v>
      </c>
      <c r="C46" t="s">
        <v>787</v>
      </c>
      <c r="D46" t="s">
        <v>9</v>
      </c>
      <c r="E46" s="2" t="s">
        <v>796</v>
      </c>
      <c r="F46" t="s">
        <v>12</v>
      </c>
      <c r="G46" t="s">
        <v>14</v>
      </c>
    </row>
    <row r="47" spans="2:7" ht="12.75">
      <c r="B47" t="s">
        <v>15</v>
      </c>
      <c r="C47" t="s">
        <v>788</v>
      </c>
      <c r="D47" t="s">
        <v>9</v>
      </c>
      <c r="E47" s="2" t="s">
        <v>796</v>
      </c>
      <c r="F47" t="s">
        <v>12</v>
      </c>
      <c r="G47" t="s">
        <v>14</v>
      </c>
    </row>
    <row r="48" spans="2:7" ht="12.75">
      <c r="B48" t="s">
        <v>35</v>
      </c>
      <c r="C48" t="s">
        <v>789</v>
      </c>
      <c r="D48" t="s">
        <v>9</v>
      </c>
      <c r="E48" s="2" t="s">
        <v>796</v>
      </c>
      <c r="F48" t="s">
        <v>12</v>
      </c>
      <c r="G48" t="s">
        <v>14</v>
      </c>
    </row>
    <row r="50" spans="3:9" ht="12.75">
      <c r="C50" s="2" t="s">
        <v>817</v>
      </c>
      <c r="D50" s="2" t="s">
        <v>797</v>
      </c>
      <c r="E50" t="s">
        <v>10</v>
      </c>
      <c r="F50" t="s">
        <v>12</v>
      </c>
      <c r="G50" t="s">
        <v>14</v>
      </c>
      <c r="H50" t="str">
        <f>Report!H13</f>
        <v>9VI19</v>
      </c>
      <c r="I50" t="str">
        <f>Report!I13</f>
        <v>20AR41</v>
      </c>
    </row>
    <row r="51" spans="2:7" ht="12.75">
      <c r="B51" s="2" t="s">
        <v>799</v>
      </c>
      <c r="C51" s="2" t="s">
        <v>816</v>
      </c>
      <c r="D51" s="2" t="s">
        <v>797</v>
      </c>
      <c r="E51" t="s">
        <v>10</v>
      </c>
      <c r="F51" t="s">
        <v>12</v>
      </c>
      <c r="G51" t="s">
        <v>14</v>
      </c>
    </row>
    <row r="52" spans="2:7" ht="12.75">
      <c r="B52" t="s">
        <v>305</v>
      </c>
      <c r="C52" t="s">
        <v>315</v>
      </c>
      <c r="D52" s="2" t="s">
        <v>797</v>
      </c>
      <c r="E52" t="s">
        <v>10</v>
      </c>
      <c r="F52" t="s">
        <v>12</v>
      </c>
      <c r="G52" t="s">
        <v>288</v>
      </c>
    </row>
    <row r="53" spans="2:7" ht="12.75">
      <c r="B53" t="s">
        <v>284</v>
      </c>
      <c r="C53" t="s">
        <v>786</v>
      </c>
      <c r="D53" s="2" t="s">
        <v>797</v>
      </c>
      <c r="E53" t="s">
        <v>10</v>
      </c>
      <c r="F53" t="s">
        <v>12</v>
      </c>
      <c r="G53" t="s">
        <v>14</v>
      </c>
    </row>
    <row r="54" spans="2:7" ht="12.75">
      <c r="B54" t="s">
        <v>15</v>
      </c>
      <c r="C54" t="s">
        <v>493</v>
      </c>
      <c r="D54" s="2" t="s">
        <v>797</v>
      </c>
      <c r="E54" t="s">
        <v>10</v>
      </c>
      <c r="F54" t="s">
        <v>12</v>
      </c>
      <c r="G54" t="s">
        <v>14</v>
      </c>
    </row>
    <row r="55" spans="2:7" ht="12.75">
      <c r="B55" t="s">
        <v>35</v>
      </c>
      <c r="C55" t="s">
        <v>795</v>
      </c>
      <c r="D55" s="2" t="s">
        <v>797</v>
      </c>
      <c r="E55" t="s">
        <v>10</v>
      </c>
      <c r="F55" t="s">
        <v>12</v>
      </c>
      <c r="G55" t="s">
        <v>14</v>
      </c>
    </row>
    <row r="56" ht="12.75">
      <c r="C56" t="s">
        <v>703</v>
      </c>
    </row>
    <row r="58" spans="3:9" ht="12.75">
      <c r="C58" s="2" t="s">
        <v>821</v>
      </c>
      <c r="D58" t="s">
        <v>5</v>
      </c>
      <c r="E58" s="2" t="s">
        <v>796</v>
      </c>
      <c r="F58" t="s">
        <v>12</v>
      </c>
      <c r="G58" t="s">
        <v>14</v>
      </c>
      <c r="H58" t="str">
        <f>Report!H14</f>
        <v>5SC0</v>
      </c>
      <c r="I58" t="str">
        <f>Report!I14</f>
        <v>24AQ60</v>
      </c>
    </row>
    <row r="59" spans="2:7" ht="12.75">
      <c r="B59" s="2" t="s">
        <v>799</v>
      </c>
      <c r="C59" s="2" t="s">
        <v>820</v>
      </c>
      <c r="D59" t="s">
        <v>5</v>
      </c>
      <c r="E59" s="2" t="s">
        <v>796</v>
      </c>
      <c r="F59" t="s">
        <v>12</v>
      </c>
      <c r="G59" t="s">
        <v>14</v>
      </c>
    </row>
    <row r="60" spans="2:7" ht="12.75">
      <c r="B60" t="s">
        <v>305</v>
      </c>
      <c r="C60" t="s">
        <v>316</v>
      </c>
      <c r="D60" t="s">
        <v>5</v>
      </c>
      <c r="E60" s="2" t="s">
        <v>796</v>
      </c>
      <c r="F60" t="s">
        <v>12</v>
      </c>
      <c r="G60" t="s">
        <v>14</v>
      </c>
    </row>
    <row r="61" spans="2:7" ht="12.75">
      <c r="B61" t="s">
        <v>760</v>
      </c>
      <c r="C61" t="s">
        <v>785</v>
      </c>
      <c r="D61" t="s">
        <v>5</v>
      </c>
      <c r="E61" s="2" t="s">
        <v>796</v>
      </c>
      <c r="F61" t="s">
        <v>12</v>
      </c>
      <c r="G61" t="s">
        <v>14</v>
      </c>
    </row>
    <row r="62" spans="2:7" ht="12.75">
      <c r="B62" t="s">
        <v>15</v>
      </c>
      <c r="C62" t="s">
        <v>495</v>
      </c>
      <c r="D62" t="s">
        <v>5</v>
      </c>
      <c r="E62" s="2" t="s">
        <v>796</v>
      </c>
      <c r="F62" t="s">
        <v>12</v>
      </c>
      <c r="G62" t="s">
        <v>14</v>
      </c>
    </row>
    <row r="63" spans="2:7" ht="12.75">
      <c r="B63" t="s">
        <v>35</v>
      </c>
      <c r="C63" t="s">
        <v>794</v>
      </c>
      <c r="D63" t="s">
        <v>5</v>
      </c>
      <c r="E63" s="2" t="s">
        <v>796</v>
      </c>
      <c r="F63" t="s">
        <v>12</v>
      </c>
      <c r="G63" t="s">
        <v>14</v>
      </c>
    </row>
    <row r="64" spans="2:7" s="2" customFormat="1" ht="12.75">
      <c r="B64" s="2" t="s">
        <v>698</v>
      </c>
      <c r="C64" s="2" t="s">
        <v>699</v>
      </c>
      <c r="D64" t="s">
        <v>5</v>
      </c>
      <c r="E64" s="2" t="s">
        <v>796</v>
      </c>
      <c r="F64" t="s">
        <v>12</v>
      </c>
      <c r="G64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10"/>
  <sheetViews>
    <sheetView zoomScalePageLayoutView="0" workbookViewId="0" topLeftCell="A17">
      <selection activeCell="C6" sqref="C6"/>
    </sheetView>
  </sheetViews>
  <sheetFormatPr defaultColWidth="9.140625" defaultRowHeight="12.75"/>
  <cols>
    <col min="1" max="1" width="2.140625" style="0" bestFit="1" customWidth="1"/>
    <col min="2" max="2" width="10.28125" style="0" bestFit="1" customWidth="1"/>
    <col min="3" max="3" width="48.57421875" style="0" customWidth="1"/>
    <col min="8" max="8" width="9.57421875" style="0" customWidth="1"/>
  </cols>
  <sheetData>
    <row r="2" ht="12.75">
      <c r="C2" s="6" t="s">
        <v>841</v>
      </c>
    </row>
    <row r="4" spans="1:9" ht="12.75">
      <c r="A4">
        <v>1</v>
      </c>
      <c r="C4" s="2" t="s">
        <v>808</v>
      </c>
      <c r="D4" s="2" t="s">
        <v>796</v>
      </c>
      <c r="E4" s="2" t="s">
        <v>797</v>
      </c>
      <c r="F4" t="s">
        <v>12</v>
      </c>
      <c r="G4" t="s">
        <v>14</v>
      </c>
      <c r="H4" t="str">
        <f>Report!H18</f>
        <v>26AQ1</v>
      </c>
      <c r="I4" t="str">
        <f>Report!I18</f>
        <v>3SC59</v>
      </c>
    </row>
    <row r="5" spans="1:7" ht="12.75">
      <c r="A5">
        <v>1</v>
      </c>
      <c r="B5" s="2" t="s">
        <v>799</v>
      </c>
      <c r="C5" s="2" t="s">
        <v>1148</v>
      </c>
      <c r="D5" s="2" t="s">
        <v>796</v>
      </c>
      <c r="E5" s="2" t="s">
        <v>797</v>
      </c>
      <c r="F5" t="s">
        <v>12</v>
      </c>
      <c r="G5" t="s">
        <v>14</v>
      </c>
    </row>
    <row r="6" spans="1:7" ht="12.75">
      <c r="A6">
        <v>1</v>
      </c>
      <c r="B6" t="s">
        <v>305</v>
      </c>
      <c r="C6" t="s">
        <v>309</v>
      </c>
      <c r="D6" s="2" t="s">
        <v>796</v>
      </c>
      <c r="E6" s="2" t="s">
        <v>797</v>
      </c>
      <c r="F6" t="s">
        <v>12</v>
      </c>
      <c r="G6" t="s">
        <v>14</v>
      </c>
    </row>
    <row r="7" spans="1:7" ht="12.75">
      <c r="A7">
        <v>1</v>
      </c>
      <c r="B7" t="s">
        <v>305</v>
      </c>
      <c r="C7" t="s">
        <v>312</v>
      </c>
      <c r="D7" s="2" t="s">
        <v>796</v>
      </c>
      <c r="E7" s="2" t="s">
        <v>797</v>
      </c>
      <c r="F7" t="s">
        <v>12</v>
      </c>
      <c r="G7" t="s">
        <v>14</v>
      </c>
    </row>
    <row r="8" spans="1:7" ht="12.75">
      <c r="A8">
        <v>1</v>
      </c>
      <c r="B8" t="s">
        <v>269</v>
      </c>
      <c r="C8" s="2" t="s">
        <v>792</v>
      </c>
      <c r="D8" s="2" t="s">
        <v>796</v>
      </c>
      <c r="E8" s="2" t="s">
        <v>797</v>
      </c>
      <c r="F8" t="s">
        <v>12</v>
      </c>
      <c r="G8" t="s">
        <v>14</v>
      </c>
    </row>
    <row r="9" spans="1:7" ht="12.75">
      <c r="A9">
        <v>1</v>
      </c>
      <c r="B9" t="s">
        <v>15</v>
      </c>
      <c r="C9" s="2" t="s">
        <v>825</v>
      </c>
      <c r="D9" s="2" t="s">
        <v>796</v>
      </c>
      <c r="E9" s="2" t="s">
        <v>797</v>
      </c>
      <c r="F9" t="s">
        <v>12</v>
      </c>
      <c r="G9" t="s">
        <v>14</v>
      </c>
    </row>
    <row r="10" spans="1:7" ht="12.75">
      <c r="A10">
        <v>1</v>
      </c>
      <c r="B10" t="s">
        <v>61</v>
      </c>
      <c r="C10" s="2" t="s">
        <v>793</v>
      </c>
      <c r="D10" s="2" t="s">
        <v>796</v>
      </c>
      <c r="E10" s="2" t="s">
        <v>797</v>
      </c>
      <c r="F10" t="s">
        <v>12</v>
      </c>
      <c r="G10" t="s">
        <v>14</v>
      </c>
    </row>
    <row r="11" spans="1:7" ht="12.75">
      <c r="A11">
        <v>1</v>
      </c>
      <c r="B11" t="s">
        <v>35</v>
      </c>
      <c r="C11" s="2" t="s">
        <v>826</v>
      </c>
      <c r="D11" s="2" t="s">
        <v>796</v>
      </c>
      <c r="E11" s="2" t="s">
        <v>797</v>
      </c>
      <c r="F11" t="s">
        <v>12</v>
      </c>
      <c r="G11" t="s">
        <v>14</v>
      </c>
    </row>
    <row r="13" spans="3:9" ht="12.75">
      <c r="C13" s="2" t="s">
        <v>1130</v>
      </c>
      <c r="D13" s="2" t="s">
        <v>796</v>
      </c>
      <c r="E13" t="s">
        <v>9</v>
      </c>
      <c r="F13" t="s">
        <v>12</v>
      </c>
      <c r="G13" t="s">
        <v>14</v>
      </c>
      <c r="H13" t="str">
        <f>Report!H114</f>
        <v>7SC42</v>
      </c>
      <c r="I13" t="str">
        <f>Report!I114</f>
        <v>22AQ18</v>
      </c>
    </row>
    <row r="14" spans="2:7" ht="12.75">
      <c r="B14" t="s">
        <v>284</v>
      </c>
      <c r="C14" s="2" t="s">
        <v>1131</v>
      </c>
      <c r="D14" s="2" t="s">
        <v>796</v>
      </c>
      <c r="E14" t="s">
        <v>9</v>
      </c>
      <c r="F14" t="s">
        <v>12</v>
      </c>
      <c r="G14" t="s">
        <v>14</v>
      </c>
    </row>
    <row r="15" spans="2:7" ht="12.75">
      <c r="B15" t="s">
        <v>15</v>
      </c>
      <c r="C15" t="s">
        <v>485</v>
      </c>
      <c r="D15" s="2" t="s">
        <v>796</v>
      </c>
      <c r="E15" t="s">
        <v>9</v>
      </c>
      <c r="F15" t="s">
        <v>12</v>
      </c>
      <c r="G15" t="s">
        <v>14</v>
      </c>
    </row>
    <row r="16" spans="2:7" ht="12.75">
      <c r="B16" t="s">
        <v>35</v>
      </c>
      <c r="C16" s="2" t="s">
        <v>157</v>
      </c>
      <c r="D16" s="2" t="s">
        <v>796</v>
      </c>
      <c r="E16" t="s">
        <v>9</v>
      </c>
      <c r="F16" t="s">
        <v>12</v>
      </c>
      <c r="G16" t="s">
        <v>14</v>
      </c>
    </row>
    <row r="17" ht="12.75">
      <c r="C17" s="2" t="s">
        <v>1132</v>
      </c>
    </row>
    <row r="19" spans="1:14" ht="12.75">
      <c r="A19">
        <v>1</v>
      </c>
      <c r="C19" s="2" t="s">
        <v>823</v>
      </c>
      <c r="D19" t="s">
        <v>10</v>
      </c>
      <c r="E19" t="s">
        <v>5</v>
      </c>
      <c r="F19" t="s">
        <v>12</v>
      </c>
      <c r="G19" t="s">
        <v>14</v>
      </c>
      <c r="H19" t="str">
        <f>Report!H20</f>
        <v>18AR40</v>
      </c>
      <c r="I19" t="str">
        <f>Report!I20</f>
        <v>11VI20</v>
      </c>
      <c r="K19" s="13"/>
      <c r="N19" s="13"/>
    </row>
    <row r="20" spans="1:14" ht="12.75">
      <c r="A20">
        <v>1</v>
      </c>
      <c r="B20" s="2" t="s">
        <v>799</v>
      </c>
      <c r="C20" s="2" t="s">
        <v>824</v>
      </c>
      <c r="D20" t="s">
        <v>10</v>
      </c>
      <c r="E20" t="s">
        <v>5</v>
      </c>
      <c r="F20" t="s">
        <v>12</v>
      </c>
      <c r="G20" t="s">
        <v>14</v>
      </c>
      <c r="K20" s="13"/>
      <c r="N20" s="13"/>
    </row>
    <row r="21" spans="1:7" ht="12.75">
      <c r="A21">
        <v>1</v>
      </c>
      <c r="B21" t="s">
        <v>305</v>
      </c>
      <c r="C21" t="s">
        <v>317</v>
      </c>
      <c r="D21" t="s">
        <v>10</v>
      </c>
      <c r="E21" t="s">
        <v>5</v>
      </c>
      <c r="F21" t="s">
        <v>12</v>
      </c>
      <c r="G21" t="s">
        <v>14</v>
      </c>
    </row>
    <row r="22" spans="1:7" ht="12.75">
      <c r="A22">
        <v>1</v>
      </c>
      <c r="B22" t="s">
        <v>269</v>
      </c>
      <c r="C22" s="2" t="s">
        <v>386</v>
      </c>
      <c r="D22" t="s">
        <v>10</v>
      </c>
      <c r="E22" t="s">
        <v>5</v>
      </c>
      <c r="F22" t="s">
        <v>12</v>
      </c>
      <c r="G22" t="s">
        <v>14</v>
      </c>
    </row>
    <row r="23" spans="1:7" ht="12.75">
      <c r="A23">
        <v>1</v>
      </c>
      <c r="B23" t="s">
        <v>15</v>
      </c>
      <c r="C23" t="s">
        <v>386</v>
      </c>
      <c r="D23" t="s">
        <v>10</v>
      </c>
      <c r="E23" t="s">
        <v>5</v>
      </c>
      <c r="F23" t="s">
        <v>12</v>
      </c>
      <c r="G23" t="s">
        <v>14</v>
      </c>
    </row>
    <row r="24" spans="1:7" ht="12.75">
      <c r="A24">
        <v>1</v>
      </c>
      <c r="B24" t="s">
        <v>61</v>
      </c>
      <c r="C24" t="s">
        <v>386</v>
      </c>
      <c r="D24" t="s">
        <v>10</v>
      </c>
      <c r="E24" t="s">
        <v>5</v>
      </c>
      <c r="F24" t="s">
        <v>12</v>
      </c>
      <c r="G24" t="s">
        <v>14</v>
      </c>
    </row>
    <row r="25" spans="1:7" ht="12.75">
      <c r="A25">
        <v>1</v>
      </c>
      <c r="B25" t="s">
        <v>35</v>
      </c>
      <c r="C25" t="s">
        <v>386</v>
      </c>
      <c r="D25" t="s">
        <v>10</v>
      </c>
      <c r="E25" t="s">
        <v>5</v>
      </c>
      <c r="F25" t="s">
        <v>12</v>
      </c>
      <c r="G25" t="s">
        <v>14</v>
      </c>
    </row>
    <row r="27" spans="1:9" ht="12.75">
      <c r="A27">
        <v>1</v>
      </c>
      <c r="C27" s="2" t="s">
        <v>827</v>
      </c>
      <c r="D27" t="s">
        <v>319</v>
      </c>
      <c r="E27" t="s">
        <v>8</v>
      </c>
      <c r="F27" t="s">
        <v>12</v>
      </c>
      <c r="G27" t="s">
        <v>13</v>
      </c>
      <c r="H27" t="str">
        <f>Report!H21</f>
        <v>13GE34</v>
      </c>
      <c r="I27" t="str">
        <f>Report!I21</f>
        <v>16CA26</v>
      </c>
    </row>
    <row r="28" spans="1:7" ht="12.75">
      <c r="A28">
        <v>1</v>
      </c>
      <c r="B28" s="2" t="s">
        <v>799</v>
      </c>
      <c r="C28" s="2" t="s">
        <v>828</v>
      </c>
      <c r="D28" t="s">
        <v>319</v>
      </c>
      <c r="E28" t="s">
        <v>8</v>
      </c>
      <c r="F28" t="s">
        <v>12</v>
      </c>
      <c r="G28" t="s">
        <v>13</v>
      </c>
    </row>
    <row r="29" spans="1:7" ht="12.75">
      <c r="A29">
        <v>1</v>
      </c>
      <c r="B29" t="s">
        <v>305</v>
      </c>
      <c r="C29" t="s">
        <v>318</v>
      </c>
      <c r="D29" t="s">
        <v>319</v>
      </c>
      <c r="E29" t="s">
        <v>8</v>
      </c>
      <c r="F29" t="s">
        <v>12</v>
      </c>
      <c r="G29" t="s">
        <v>13</v>
      </c>
    </row>
    <row r="30" spans="1:7" ht="12.75">
      <c r="A30">
        <v>1</v>
      </c>
      <c r="B30" t="s">
        <v>269</v>
      </c>
      <c r="C30" s="2" t="s">
        <v>832</v>
      </c>
      <c r="D30" t="s">
        <v>319</v>
      </c>
      <c r="E30" t="s">
        <v>8</v>
      </c>
      <c r="F30" t="s">
        <v>12</v>
      </c>
      <c r="G30" t="s">
        <v>13</v>
      </c>
    </row>
    <row r="31" spans="1:7" ht="12.75">
      <c r="A31">
        <v>1</v>
      </c>
      <c r="B31" t="s">
        <v>15</v>
      </c>
      <c r="C31" t="s">
        <v>287</v>
      </c>
      <c r="D31" t="s">
        <v>319</v>
      </c>
      <c r="E31" t="s">
        <v>8</v>
      </c>
      <c r="F31" t="s">
        <v>12</v>
      </c>
      <c r="G31" t="s">
        <v>13</v>
      </c>
    </row>
    <row r="32" spans="1:7" ht="12.75">
      <c r="A32">
        <v>1</v>
      </c>
      <c r="B32" t="s">
        <v>61</v>
      </c>
      <c r="C32" s="2" t="s">
        <v>833</v>
      </c>
      <c r="D32" t="s">
        <v>319</v>
      </c>
      <c r="E32" t="s">
        <v>8</v>
      </c>
      <c r="F32" t="s">
        <v>12</v>
      </c>
      <c r="G32" t="s">
        <v>13</v>
      </c>
    </row>
    <row r="33" spans="1:7" ht="12.75">
      <c r="A33">
        <v>1</v>
      </c>
      <c r="B33" t="s">
        <v>35</v>
      </c>
      <c r="C33" s="2" t="s">
        <v>834</v>
      </c>
      <c r="D33" t="s">
        <v>319</v>
      </c>
      <c r="E33" t="s">
        <v>8</v>
      </c>
      <c r="F33" t="s">
        <v>12</v>
      </c>
      <c r="G33" t="s">
        <v>13</v>
      </c>
    </row>
    <row r="35" spans="1:9" ht="12.75">
      <c r="A35">
        <v>1</v>
      </c>
      <c r="C35" s="2" t="s">
        <v>839</v>
      </c>
      <c r="D35" t="s">
        <v>5</v>
      </c>
      <c r="E35" t="s">
        <v>9</v>
      </c>
      <c r="F35" t="s">
        <v>50</v>
      </c>
      <c r="G35" t="s">
        <v>14</v>
      </c>
      <c r="H35" t="str">
        <f>Report!H48</f>
        <v>11PI52</v>
      </c>
      <c r="I35" t="str">
        <f>Report!I48</f>
        <v>18LI8</v>
      </c>
    </row>
    <row r="36" spans="1:7" ht="12.75">
      <c r="A36">
        <v>1</v>
      </c>
      <c r="B36" s="2" t="s">
        <v>799</v>
      </c>
      <c r="C36" s="2" t="s">
        <v>840</v>
      </c>
      <c r="D36" t="s">
        <v>5</v>
      </c>
      <c r="E36" t="s">
        <v>9</v>
      </c>
      <c r="F36" t="s">
        <v>50</v>
      </c>
      <c r="G36" t="s">
        <v>14</v>
      </c>
    </row>
    <row r="37" spans="1:7" ht="12.75">
      <c r="A37">
        <v>4</v>
      </c>
      <c r="B37" t="s">
        <v>269</v>
      </c>
      <c r="C37" s="2" t="s">
        <v>836</v>
      </c>
      <c r="D37" t="s">
        <v>5</v>
      </c>
      <c r="E37" t="s">
        <v>9</v>
      </c>
      <c r="F37" t="s">
        <v>12</v>
      </c>
      <c r="G37" t="s">
        <v>14</v>
      </c>
    </row>
    <row r="38" spans="1:7" ht="12.75">
      <c r="A38">
        <v>4</v>
      </c>
      <c r="B38" t="s">
        <v>15</v>
      </c>
      <c r="C38" t="s">
        <v>590</v>
      </c>
      <c r="D38" t="s">
        <v>5</v>
      </c>
      <c r="E38" t="s">
        <v>9</v>
      </c>
      <c r="F38" t="s">
        <v>12</v>
      </c>
      <c r="G38" t="s">
        <v>14</v>
      </c>
    </row>
    <row r="39" spans="1:7" ht="12.75">
      <c r="A39">
        <v>4</v>
      </c>
      <c r="B39" t="s">
        <v>35</v>
      </c>
      <c r="C39" s="2" t="s">
        <v>837</v>
      </c>
      <c r="D39" t="s">
        <v>5</v>
      </c>
      <c r="E39" t="s">
        <v>9</v>
      </c>
      <c r="F39" t="s">
        <v>50</v>
      </c>
      <c r="G39" t="s">
        <v>14</v>
      </c>
    </row>
    <row r="40" ht="12.75">
      <c r="C40" s="69" t="s">
        <v>835</v>
      </c>
    </row>
    <row r="41" ht="12.75">
      <c r="C41" s="2"/>
    </row>
    <row r="42" spans="1:9" ht="12.75">
      <c r="A42">
        <v>1</v>
      </c>
      <c r="C42" s="2" t="s">
        <v>829</v>
      </c>
      <c r="D42" t="s">
        <v>50</v>
      </c>
      <c r="E42" t="s">
        <v>9</v>
      </c>
      <c r="F42" t="s">
        <v>12</v>
      </c>
      <c r="G42" t="s">
        <v>14</v>
      </c>
      <c r="H42" t="str">
        <f>Report!H23</f>
        <v>14TA23</v>
      </c>
      <c r="I42" t="str">
        <f>Report!I23</f>
        <v>15LE37</v>
      </c>
    </row>
    <row r="43" spans="1:7" ht="12.75">
      <c r="A43">
        <v>1</v>
      </c>
      <c r="B43" t="s">
        <v>269</v>
      </c>
      <c r="C43" s="2" t="s">
        <v>830</v>
      </c>
      <c r="D43" t="s">
        <v>50</v>
      </c>
      <c r="E43" t="s">
        <v>9</v>
      </c>
      <c r="F43" t="s">
        <v>12</v>
      </c>
      <c r="G43" t="s">
        <v>14</v>
      </c>
    </row>
    <row r="44" spans="1:7" ht="12.75">
      <c r="A44">
        <v>1</v>
      </c>
      <c r="B44" t="s">
        <v>15</v>
      </c>
      <c r="C44" t="s">
        <v>389</v>
      </c>
      <c r="D44" t="s">
        <v>50</v>
      </c>
      <c r="E44" t="s">
        <v>9</v>
      </c>
      <c r="F44" t="s">
        <v>12</v>
      </c>
      <c r="G44" t="s">
        <v>14</v>
      </c>
    </row>
    <row r="45" spans="1:7" ht="12.75">
      <c r="A45">
        <v>1</v>
      </c>
      <c r="B45" t="s">
        <v>35</v>
      </c>
      <c r="C45" s="2" t="s">
        <v>831</v>
      </c>
      <c r="D45" t="s">
        <v>50</v>
      </c>
      <c r="E45" t="s">
        <v>9</v>
      </c>
      <c r="F45" t="s">
        <v>12</v>
      </c>
      <c r="G45" t="s">
        <v>14</v>
      </c>
    </row>
    <row r="65" ht="12.75">
      <c r="C65" s="1"/>
    </row>
    <row r="72" ht="12.75">
      <c r="C72" s="1"/>
    </row>
    <row r="84" ht="12.75">
      <c r="C84" s="1"/>
    </row>
    <row r="94" ht="12.75">
      <c r="C94" s="1"/>
    </row>
    <row r="96" ht="12.75">
      <c r="C96" s="1"/>
    </row>
    <row r="101" ht="12.75">
      <c r="C101" s="1"/>
    </row>
    <row r="103" ht="12.75">
      <c r="C103" s="1"/>
    </row>
    <row r="108" ht="12.75">
      <c r="C108" s="1"/>
    </row>
    <row r="110" ht="12.75">
      <c r="C110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.57421875" style="0" customWidth="1"/>
    <col min="2" max="2" width="10.28125" style="0" bestFit="1" customWidth="1"/>
    <col min="3" max="3" width="48.57421875" style="0" customWidth="1"/>
    <col min="8" max="8" width="9.57421875" style="0" customWidth="1"/>
  </cols>
  <sheetData>
    <row r="2" ht="12.75">
      <c r="C2" s="6" t="s">
        <v>842</v>
      </c>
    </row>
    <row r="4" spans="1:9" ht="12.75">
      <c r="A4">
        <v>2</v>
      </c>
      <c r="C4" s="2" t="s">
        <v>853</v>
      </c>
      <c r="D4" t="s">
        <v>391</v>
      </c>
      <c r="E4" t="s">
        <v>392</v>
      </c>
      <c r="F4" t="s">
        <v>12</v>
      </c>
      <c r="G4" t="s">
        <v>13</v>
      </c>
      <c r="H4" t="str">
        <f>Report!H25</f>
        <v>0PI31</v>
      </c>
      <c r="I4" t="str">
        <f>Report!I25</f>
        <v>29LI29</v>
      </c>
    </row>
    <row r="5" spans="1:7" ht="12.75">
      <c r="A5">
        <v>2</v>
      </c>
      <c r="B5" s="2" t="s">
        <v>799</v>
      </c>
      <c r="C5" s="2" t="s">
        <v>854</v>
      </c>
      <c r="D5" t="s">
        <v>391</v>
      </c>
      <c r="E5" t="s">
        <v>392</v>
      </c>
      <c r="F5" t="s">
        <v>12</v>
      </c>
      <c r="G5" t="s">
        <v>13</v>
      </c>
    </row>
    <row r="6" spans="1:7" ht="12.75">
      <c r="A6">
        <v>2</v>
      </c>
      <c r="B6" t="s">
        <v>305</v>
      </c>
      <c r="C6" t="s">
        <v>320</v>
      </c>
      <c r="D6" t="s">
        <v>391</v>
      </c>
      <c r="E6" t="s">
        <v>392</v>
      </c>
      <c r="F6" t="s">
        <v>12</v>
      </c>
      <c r="G6" t="s">
        <v>13</v>
      </c>
    </row>
    <row r="7" spans="1:7" ht="12.75">
      <c r="A7">
        <v>2</v>
      </c>
      <c r="B7" t="s">
        <v>269</v>
      </c>
      <c r="C7" s="2" t="s">
        <v>591</v>
      </c>
      <c r="D7" t="s">
        <v>391</v>
      </c>
      <c r="E7" t="s">
        <v>392</v>
      </c>
      <c r="F7" t="s">
        <v>12</v>
      </c>
      <c r="G7" t="s">
        <v>14</v>
      </c>
    </row>
    <row r="8" spans="1:7" ht="12.75">
      <c r="A8">
        <v>2</v>
      </c>
      <c r="B8" t="s">
        <v>15</v>
      </c>
      <c r="C8" t="s">
        <v>393</v>
      </c>
      <c r="D8" t="s">
        <v>391</v>
      </c>
      <c r="E8" t="s">
        <v>392</v>
      </c>
      <c r="F8" t="s">
        <v>12</v>
      </c>
      <c r="G8" t="s">
        <v>13</v>
      </c>
    </row>
    <row r="9" spans="1:7" ht="12.75">
      <c r="A9">
        <v>2</v>
      </c>
      <c r="B9" t="s">
        <v>61</v>
      </c>
      <c r="C9" s="2" t="s">
        <v>120</v>
      </c>
      <c r="D9" t="s">
        <v>391</v>
      </c>
      <c r="E9" t="s">
        <v>392</v>
      </c>
      <c r="F9" t="s">
        <v>12</v>
      </c>
      <c r="G9" t="s">
        <v>13</v>
      </c>
    </row>
    <row r="10" spans="1:7" ht="12.75">
      <c r="A10">
        <v>2</v>
      </c>
      <c r="B10" t="s">
        <v>35</v>
      </c>
      <c r="C10" s="2" t="s">
        <v>120</v>
      </c>
      <c r="D10" t="s">
        <v>391</v>
      </c>
      <c r="E10" t="s">
        <v>392</v>
      </c>
      <c r="F10" t="s">
        <v>12</v>
      </c>
      <c r="G10" t="s">
        <v>13</v>
      </c>
    </row>
    <row r="12" spans="1:9" ht="12.75">
      <c r="A12">
        <v>2</v>
      </c>
      <c r="C12" s="2" t="s">
        <v>855</v>
      </c>
      <c r="D12" t="s">
        <v>5</v>
      </c>
      <c r="E12" t="s">
        <v>50</v>
      </c>
      <c r="F12" t="s">
        <v>12</v>
      </c>
      <c r="G12" t="s">
        <v>13</v>
      </c>
      <c r="H12" t="str">
        <f>Report!H26</f>
        <v>6AR43</v>
      </c>
      <c r="I12" t="str">
        <f>Report!I26</f>
        <v>23VI17</v>
      </c>
    </row>
    <row r="13" spans="1:7" ht="12.75">
      <c r="A13">
        <v>2</v>
      </c>
      <c r="B13" t="s">
        <v>269</v>
      </c>
      <c r="C13" s="2" t="s">
        <v>121</v>
      </c>
      <c r="D13" t="s">
        <v>5</v>
      </c>
      <c r="E13" t="s">
        <v>50</v>
      </c>
      <c r="F13" t="s">
        <v>12</v>
      </c>
      <c r="G13" t="s">
        <v>14</v>
      </c>
    </row>
    <row r="14" spans="1:7" ht="12.75">
      <c r="A14">
        <v>2</v>
      </c>
      <c r="B14" t="s">
        <v>15</v>
      </c>
      <c r="C14" t="s">
        <v>395</v>
      </c>
      <c r="D14" t="s">
        <v>5</v>
      </c>
      <c r="E14" t="s">
        <v>50</v>
      </c>
      <c r="F14" t="s">
        <v>12</v>
      </c>
      <c r="G14" t="s">
        <v>13</v>
      </c>
    </row>
    <row r="15" spans="1:7" ht="12.75">
      <c r="A15">
        <v>2</v>
      </c>
      <c r="B15" t="s">
        <v>35</v>
      </c>
      <c r="C15" s="2" t="s">
        <v>856</v>
      </c>
      <c r="D15" t="s">
        <v>5</v>
      </c>
      <c r="E15" t="s">
        <v>50</v>
      </c>
      <c r="F15" t="s">
        <v>12</v>
      </c>
      <c r="G15" t="s">
        <v>13</v>
      </c>
    </row>
    <row r="16" spans="1:7" ht="12.75">
      <c r="A16">
        <v>2</v>
      </c>
      <c r="B16" t="s">
        <v>61</v>
      </c>
      <c r="C16" s="2" t="s">
        <v>862</v>
      </c>
      <c r="D16" t="s">
        <v>5</v>
      </c>
      <c r="E16" t="s">
        <v>50</v>
      </c>
      <c r="F16" t="s">
        <v>12</v>
      </c>
      <c r="G16" t="s">
        <v>13</v>
      </c>
    </row>
    <row r="18" spans="1:9" ht="12.75">
      <c r="A18">
        <v>2</v>
      </c>
      <c r="C18" s="2" t="s">
        <v>857</v>
      </c>
      <c r="D18" t="s">
        <v>5</v>
      </c>
      <c r="E18" t="s">
        <v>10</v>
      </c>
      <c r="F18" t="s">
        <v>12</v>
      </c>
      <c r="G18" t="s">
        <v>14</v>
      </c>
      <c r="H18" t="str">
        <f>Report!H27</f>
        <v>10VI50</v>
      </c>
      <c r="I18" t="str">
        <f>Report!I27</f>
        <v>19AR10</v>
      </c>
    </row>
    <row r="19" spans="1:7" ht="12.75">
      <c r="A19">
        <v>2</v>
      </c>
      <c r="B19" t="s">
        <v>35</v>
      </c>
      <c r="C19" s="2" t="s">
        <v>859</v>
      </c>
      <c r="D19" t="s">
        <v>5</v>
      </c>
      <c r="E19" t="s">
        <v>10</v>
      </c>
      <c r="F19" t="s">
        <v>12</v>
      </c>
      <c r="G19" t="s">
        <v>14</v>
      </c>
    </row>
    <row r="21" spans="1:9" ht="12.75">
      <c r="A21">
        <v>2</v>
      </c>
      <c r="C21" s="2" t="s">
        <v>858</v>
      </c>
      <c r="D21" t="s">
        <v>50</v>
      </c>
      <c r="E21" t="s">
        <v>7</v>
      </c>
      <c r="F21" t="s">
        <v>12</v>
      </c>
      <c r="G21" t="s">
        <v>14</v>
      </c>
      <c r="H21" t="str">
        <f>Report!H28</f>
        <v>2SA33</v>
      </c>
      <c r="I21" t="str">
        <f>Report!I28</f>
        <v>27CP27</v>
      </c>
    </row>
    <row r="22" spans="1:7" ht="12.75">
      <c r="A22">
        <v>2</v>
      </c>
      <c r="B22" t="s">
        <v>269</v>
      </c>
      <c r="C22" s="2" t="s">
        <v>860</v>
      </c>
      <c r="D22" t="s">
        <v>50</v>
      </c>
      <c r="E22" t="s">
        <v>7</v>
      </c>
      <c r="F22" t="s">
        <v>12</v>
      </c>
      <c r="G22" t="s">
        <v>13</v>
      </c>
    </row>
    <row r="23" spans="1:7" ht="12.75">
      <c r="A23">
        <v>2</v>
      </c>
      <c r="B23" t="s">
        <v>15</v>
      </c>
      <c r="C23" t="s">
        <v>396</v>
      </c>
      <c r="D23" t="s">
        <v>50</v>
      </c>
      <c r="E23" t="s">
        <v>7</v>
      </c>
      <c r="F23" t="s">
        <v>12</v>
      </c>
      <c r="G23" t="s">
        <v>14</v>
      </c>
    </row>
    <row r="24" spans="1:7" ht="12.75">
      <c r="A24">
        <v>2</v>
      </c>
      <c r="B24" t="s">
        <v>35</v>
      </c>
      <c r="C24" s="2" t="s">
        <v>861</v>
      </c>
      <c r="D24" t="s">
        <v>50</v>
      </c>
      <c r="E24" t="s">
        <v>7</v>
      </c>
      <c r="F24" t="s">
        <v>12</v>
      </c>
      <c r="G24" t="s">
        <v>14</v>
      </c>
    </row>
    <row r="28" ht="12.75">
      <c r="C28" s="2"/>
    </row>
    <row r="29" ht="12.75">
      <c r="C29" s="2"/>
    </row>
    <row r="30" ht="12.75">
      <c r="C30" s="2"/>
    </row>
    <row r="53" ht="12.75">
      <c r="C53" s="1"/>
    </row>
    <row r="60" ht="12.75">
      <c r="C60" s="1"/>
    </row>
    <row r="72" ht="12.75">
      <c r="C72" s="1"/>
    </row>
    <row r="82" ht="12.75">
      <c r="C82" s="1"/>
    </row>
    <row r="84" ht="12.75">
      <c r="C84" s="1"/>
    </row>
    <row r="89" ht="12.75">
      <c r="C89" s="1"/>
    </row>
    <row r="91" ht="12.75">
      <c r="C91" s="1"/>
    </row>
    <row r="96" ht="12.75">
      <c r="C96" s="1"/>
    </row>
    <row r="98" ht="12.75">
      <c r="C98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.00390625" style="0" customWidth="1"/>
    <col min="2" max="2" width="10.28125" style="0" bestFit="1" customWidth="1"/>
    <col min="3" max="3" width="48.57421875" style="0" customWidth="1"/>
    <col min="5" max="5" width="11.140625" style="0" bestFit="1" customWidth="1"/>
    <col min="8" max="8" width="9.57421875" style="0" customWidth="1"/>
  </cols>
  <sheetData>
    <row r="2" ht="12.75">
      <c r="C2" s="6" t="s">
        <v>843</v>
      </c>
    </row>
    <row r="4" spans="1:9" ht="12.75">
      <c r="A4">
        <v>3</v>
      </c>
      <c r="C4" s="2" t="s">
        <v>870</v>
      </c>
      <c r="D4" t="s">
        <v>5</v>
      </c>
      <c r="E4" t="s">
        <v>10</v>
      </c>
      <c r="F4" t="s">
        <v>12</v>
      </c>
      <c r="G4" t="s">
        <v>13</v>
      </c>
      <c r="H4" t="str">
        <f>Report!H30</f>
        <v>18AR40</v>
      </c>
      <c r="I4" t="str">
        <f>Report!I30</f>
        <v>11VI20</v>
      </c>
    </row>
    <row r="5" spans="1:7" ht="12.75">
      <c r="A5">
        <v>3</v>
      </c>
      <c r="B5" s="2" t="s">
        <v>799</v>
      </c>
      <c r="C5" s="2" t="s">
        <v>864</v>
      </c>
      <c r="D5" t="s">
        <v>5</v>
      </c>
      <c r="E5" t="s">
        <v>10</v>
      </c>
      <c r="F5" t="s">
        <v>12</v>
      </c>
      <c r="G5" t="s">
        <v>13</v>
      </c>
    </row>
    <row r="6" spans="1:7" ht="12.75">
      <c r="A6">
        <v>3</v>
      </c>
      <c r="B6" t="s">
        <v>305</v>
      </c>
      <c r="C6" t="s">
        <v>324</v>
      </c>
      <c r="D6" t="s">
        <v>5</v>
      </c>
      <c r="E6" t="s">
        <v>10</v>
      </c>
      <c r="F6" t="s">
        <v>12</v>
      </c>
      <c r="G6" t="s">
        <v>13</v>
      </c>
    </row>
    <row r="7" spans="1:7" ht="12.75">
      <c r="A7">
        <v>3</v>
      </c>
      <c r="B7" t="s">
        <v>269</v>
      </c>
      <c r="C7" t="s">
        <v>397</v>
      </c>
      <c r="D7" t="s">
        <v>5</v>
      </c>
      <c r="E7" t="s">
        <v>10</v>
      </c>
      <c r="F7" t="s">
        <v>12</v>
      </c>
      <c r="G7" t="s">
        <v>13</v>
      </c>
    </row>
    <row r="8" spans="1:7" ht="12.75">
      <c r="A8">
        <v>3</v>
      </c>
      <c r="B8" t="s">
        <v>15</v>
      </c>
      <c r="C8" t="s">
        <v>397</v>
      </c>
      <c r="D8" t="s">
        <v>5</v>
      </c>
      <c r="E8" t="s">
        <v>10</v>
      </c>
      <c r="F8" t="s">
        <v>12</v>
      </c>
      <c r="G8" t="s">
        <v>13</v>
      </c>
    </row>
    <row r="9" spans="1:7" ht="12.75">
      <c r="A9">
        <v>3</v>
      </c>
      <c r="B9" t="s">
        <v>61</v>
      </c>
      <c r="C9" t="s">
        <v>397</v>
      </c>
      <c r="D9" t="s">
        <v>5</v>
      </c>
      <c r="E9" t="s">
        <v>10</v>
      </c>
      <c r="F9" t="s">
        <v>12</v>
      </c>
      <c r="G9" t="s">
        <v>14</v>
      </c>
    </row>
    <row r="10" spans="1:7" ht="12.75">
      <c r="A10">
        <v>3</v>
      </c>
      <c r="B10" t="s">
        <v>35</v>
      </c>
      <c r="C10" t="s">
        <v>397</v>
      </c>
      <c r="D10" t="s">
        <v>5</v>
      </c>
      <c r="E10" t="s">
        <v>10</v>
      </c>
      <c r="F10" t="s">
        <v>12</v>
      </c>
      <c r="G10" t="s">
        <v>13</v>
      </c>
    </row>
    <row r="12" spans="1:9" ht="12.75">
      <c r="A12">
        <v>3</v>
      </c>
      <c r="C12" s="2" t="s">
        <v>871</v>
      </c>
      <c r="D12" t="s">
        <v>6</v>
      </c>
      <c r="E12" t="s">
        <v>262</v>
      </c>
      <c r="F12" t="s">
        <v>12</v>
      </c>
      <c r="G12" t="s">
        <v>14</v>
      </c>
      <c r="H12" t="str">
        <f>Report!H32</f>
        <v>2TA14</v>
      </c>
      <c r="I12" t="str">
        <f>Report!I32</f>
        <v>27LE46</v>
      </c>
    </row>
    <row r="13" spans="1:7" ht="12.75">
      <c r="A13">
        <v>3</v>
      </c>
      <c r="B13" s="2" t="s">
        <v>799</v>
      </c>
      <c r="C13" s="2" t="s">
        <v>867</v>
      </c>
      <c r="D13" t="s">
        <v>6</v>
      </c>
      <c r="E13" t="s">
        <v>262</v>
      </c>
      <c r="F13" t="s">
        <v>12</v>
      </c>
      <c r="G13" t="s">
        <v>14</v>
      </c>
    </row>
    <row r="14" spans="1:7" ht="12.75">
      <c r="A14">
        <v>3</v>
      </c>
      <c r="B14" t="s">
        <v>305</v>
      </c>
      <c r="C14" t="s">
        <v>325</v>
      </c>
      <c r="D14" t="s">
        <v>6</v>
      </c>
      <c r="E14" t="s">
        <v>262</v>
      </c>
      <c r="F14" t="s">
        <v>12</v>
      </c>
      <c r="G14" t="s">
        <v>14</v>
      </c>
    </row>
    <row r="15" spans="1:7" ht="12.75">
      <c r="A15">
        <v>3</v>
      </c>
      <c r="B15" t="s">
        <v>15</v>
      </c>
      <c r="C15" t="s">
        <v>399</v>
      </c>
      <c r="D15" t="s">
        <v>6</v>
      </c>
      <c r="E15" t="s">
        <v>262</v>
      </c>
      <c r="F15" t="s">
        <v>12</v>
      </c>
      <c r="G15" t="s">
        <v>14</v>
      </c>
    </row>
    <row r="16" spans="1:7" ht="12.75">
      <c r="A16">
        <v>3</v>
      </c>
      <c r="B16" t="s">
        <v>35</v>
      </c>
      <c r="C16" t="s">
        <v>402</v>
      </c>
      <c r="D16" t="s">
        <v>6</v>
      </c>
      <c r="E16" t="s">
        <v>262</v>
      </c>
      <c r="F16" t="s">
        <v>12</v>
      </c>
      <c r="G16" t="s">
        <v>403</v>
      </c>
    </row>
    <row r="17" ht="12.75">
      <c r="C17" s="5" t="s">
        <v>425</v>
      </c>
    </row>
    <row r="19" spans="1:9" ht="12.75">
      <c r="A19">
        <v>3</v>
      </c>
      <c r="C19" s="2" t="s">
        <v>865</v>
      </c>
      <c r="D19" t="s">
        <v>50</v>
      </c>
      <c r="E19" t="s">
        <v>5</v>
      </c>
      <c r="F19" t="s">
        <v>12</v>
      </c>
      <c r="G19" t="s">
        <v>13</v>
      </c>
      <c r="H19" t="str">
        <f>Report!H31</f>
        <v>22VI47</v>
      </c>
      <c r="I19" t="str">
        <f>Report!I31</f>
        <v>7AR13</v>
      </c>
    </row>
    <row r="20" spans="1:7" ht="12.75">
      <c r="A20">
        <v>3</v>
      </c>
      <c r="B20" t="s">
        <v>269</v>
      </c>
      <c r="C20" t="s">
        <v>398</v>
      </c>
      <c r="D20" t="s">
        <v>50</v>
      </c>
      <c r="E20" t="s">
        <v>5</v>
      </c>
      <c r="F20" t="s">
        <v>12</v>
      </c>
      <c r="G20" t="s">
        <v>13</v>
      </c>
    </row>
    <row r="21" spans="1:7" ht="12.75">
      <c r="A21">
        <v>3</v>
      </c>
      <c r="B21" t="s">
        <v>15</v>
      </c>
      <c r="C21" t="s">
        <v>398</v>
      </c>
      <c r="D21" t="s">
        <v>50</v>
      </c>
      <c r="E21" t="s">
        <v>5</v>
      </c>
      <c r="F21" t="s">
        <v>12</v>
      </c>
      <c r="G21" t="s">
        <v>13</v>
      </c>
    </row>
    <row r="22" spans="1:7" ht="12.75">
      <c r="A22">
        <v>3</v>
      </c>
      <c r="B22" t="s">
        <v>35</v>
      </c>
      <c r="C22" s="2" t="s">
        <v>866</v>
      </c>
      <c r="D22" t="s">
        <v>50</v>
      </c>
      <c r="E22" t="s">
        <v>5</v>
      </c>
      <c r="F22" t="s">
        <v>12</v>
      </c>
      <c r="G22" t="s">
        <v>13</v>
      </c>
    </row>
    <row r="24" ht="12.75">
      <c r="C24" s="69" t="s">
        <v>868</v>
      </c>
    </row>
    <row r="26" spans="1:7" s="2" customFormat="1" ht="12.75">
      <c r="A26" s="2">
        <v>3</v>
      </c>
      <c r="C26" s="2" t="s">
        <v>404</v>
      </c>
      <c r="D26" s="2" t="s">
        <v>6</v>
      </c>
      <c r="E26" s="2" t="s">
        <v>5</v>
      </c>
      <c r="F26" s="2" t="s">
        <v>12</v>
      </c>
      <c r="G26" s="2" t="s">
        <v>14</v>
      </c>
    </row>
    <row r="27" spans="1:7" ht="12.75">
      <c r="A27">
        <v>3</v>
      </c>
      <c r="B27" t="s">
        <v>61</v>
      </c>
      <c r="C27" t="s">
        <v>401</v>
      </c>
      <c r="D27" t="s">
        <v>6</v>
      </c>
      <c r="E27" t="s">
        <v>5</v>
      </c>
      <c r="F27" t="s">
        <v>12</v>
      </c>
      <c r="G27" t="s">
        <v>14</v>
      </c>
    </row>
    <row r="28" ht="12.75">
      <c r="C28" t="s">
        <v>704</v>
      </c>
    </row>
    <row r="30" spans="1:7" ht="12.75">
      <c r="A30" t="s">
        <v>482</v>
      </c>
      <c r="B30" t="s">
        <v>15</v>
      </c>
      <c r="C30" s="2" t="s">
        <v>486</v>
      </c>
      <c r="D30" t="s">
        <v>497</v>
      </c>
      <c r="E30" t="s">
        <v>50</v>
      </c>
      <c r="F30" t="s">
        <v>50</v>
      </c>
      <c r="G30" t="s">
        <v>13</v>
      </c>
    </row>
    <row r="31" ht="12.75">
      <c r="C31" s="2"/>
    </row>
    <row r="32" spans="1:7" ht="12.75">
      <c r="A32" t="s">
        <v>482</v>
      </c>
      <c r="B32" t="s">
        <v>35</v>
      </c>
      <c r="C32" s="2" t="s">
        <v>490</v>
      </c>
      <c r="D32" t="s">
        <v>489</v>
      </c>
      <c r="E32" t="s">
        <v>50</v>
      </c>
      <c r="F32" t="s">
        <v>12</v>
      </c>
      <c r="G32" t="s">
        <v>13</v>
      </c>
    </row>
    <row r="34" spans="4:5" ht="12.75">
      <c r="D34" s="2"/>
      <c r="E34" s="2"/>
    </row>
    <row r="44" ht="12.75">
      <c r="C44" s="1"/>
    </row>
    <row r="51" ht="12.75">
      <c r="C51" s="1"/>
    </row>
    <row r="63" ht="12.75">
      <c r="C63" s="1"/>
    </row>
    <row r="73" ht="12.75">
      <c r="C73" s="1"/>
    </row>
    <row r="75" ht="12.75">
      <c r="C75" s="1"/>
    </row>
    <row r="80" ht="12.75">
      <c r="C80" s="1"/>
    </row>
    <row r="82" ht="12.75">
      <c r="C82" s="1"/>
    </row>
    <row r="87" ht="12.75">
      <c r="C87" s="1"/>
    </row>
    <row r="89" ht="12.75">
      <c r="C89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.57421875" style="0" customWidth="1"/>
    <col min="2" max="2" width="10.28125" style="0" bestFit="1" customWidth="1"/>
    <col min="3" max="3" width="51.57421875" style="0" customWidth="1"/>
    <col min="5" max="5" width="11.140625" style="0" bestFit="1" customWidth="1"/>
    <col min="8" max="8" width="9.57421875" style="0" customWidth="1"/>
  </cols>
  <sheetData>
    <row r="2" ht="12.75">
      <c r="C2" s="6" t="s">
        <v>844</v>
      </c>
    </row>
    <row r="4" spans="1:9" ht="12.75">
      <c r="A4">
        <v>4</v>
      </c>
      <c r="C4" s="2" t="s">
        <v>872</v>
      </c>
      <c r="D4" t="s">
        <v>6</v>
      </c>
      <c r="E4" t="s">
        <v>5</v>
      </c>
      <c r="F4" t="s">
        <v>12</v>
      </c>
      <c r="G4" t="s">
        <v>14</v>
      </c>
      <c r="H4" t="str">
        <f>Report!H34</f>
        <v>19PI56</v>
      </c>
      <c r="I4" t="str">
        <f>Report!I34</f>
        <v>10LI4</v>
      </c>
    </row>
    <row r="5" spans="1:7" ht="12.75">
      <c r="A5">
        <v>4</v>
      </c>
      <c r="B5" s="2" t="s">
        <v>799</v>
      </c>
      <c r="C5" s="2" t="s">
        <v>873</v>
      </c>
      <c r="D5" t="s">
        <v>6</v>
      </c>
      <c r="E5" t="s">
        <v>5</v>
      </c>
      <c r="F5" t="s">
        <v>12</v>
      </c>
      <c r="G5" t="s">
        <v>14</v>
      </c>
    </row>
    <row r="6" spans="1:7" ht="12.75">
      <c r="A6">
        <v>4</v>
      </c>
      <c r="B6" t="s">
        <v>305</v>
      </c>
      <c r="C6" t="s">
        <v>326</v>
      </c>
      <c r="D6" t="s">
        <v>6</v>
      </c>
      <c r="E6" t="s">
        <v>5</v>
      </c>
      <c r="F6" t="s">
        <v>12</v>
      </c>
      <c r="G6" t="s">
        <v>14</v>
      </c>
    </row>
    <row r="7" spans="1:7" ht="12.75">
      <c r="A7">
        <v>4</v>
      </c>
      <c r="B7" t="s">
        <v>305</v>
      </c>
      <c r="C7" t="s">
        <v>327</v>
      </c>
      <c r="D7" t="s">
        <v>6</v>
      </c>
      <c r="E7" t="s">
        <v>5</v>
      </c>
      <c r="F7" t="s">
        <v>12</v>
      </c>
      <c r="G7" t="s">
        <v>14</v>
      </c>
    </row>
    <row r="8" spans="1:7" ht="12.75">
      <c r="A8">
        <v>4</v>
      </c>
      <c r="B8" t="s">
        <v>269</v>
      </c>
      <c r="C8" s="2" t="s">
        <v>874</v>
      </c>
      <c r="D8" t="s">
        <v>6</v>
      </c>
      <c r="E8" t="s">
        <v>5</v>
      </c>
      <c r="F8" t="s">
        <v>12</v>
      </c>
      <c r="G8" t="s">
        <v>14</v>
      </c>
    </row>
    <row r="9" spans="1:7" ht="12.75">
      <c r="A9">
        <v>4</v>
      </c>
      <c r="B9" t="s">
        <v>15</v>
      </c>
      <c r="C9" t="s">
        <v>587</v>
      </c>
      <c r="D9" t="s">
        <v>6</v>
      </c>
      <c r="E9" t="s">
        <v>5</v>
      </c>
      <c r="F9" t="s">
        <v>12</v>
      </c>
      <c r="G9" t="s">
        <v>14</v>
      </c>
    </row>
    <row r="10" spans="1:7" ht="12.75">
      <c r="A10">
        <v>4</v>
      </c>
      <c r="B10" t="s">
        <v>35</v>
      </c>
      <c r="C10" s="2" t="s">
        <v>875</v>
      </c>
      <c r="D10" t="s">
        <v>6</v>
      </c>
      <c r="E10" t="s">
        <v>5</v>
      </c>
      <c r="F10" t="s">
        <v>12</v>
      </c>
      <c r="G10" t="s">
        <v>14</v>
      </c>
    </row>
    <row r="11" ht="12.75">
      <c r="C11" s="6" t="s">
        <v>773</v>
      </c>
    </row>
    <row r="13" spans="1:9" ht="12.75">
      <c r="A13">
        <v>4</v>
      </c>
      <c r="C13" s="2" t="s">
        <v>876</v>
      </c>
      <c r="D13" t="s">
        <v>5</v>
      </c>
      <c r="E13" t="s">
        <v>10</v>
      </c>
      <c r="F13" t="s">
        <v>12</v>
      </c>
      <c r="G13" t="s">
        <v>14</v>
      </c>
      <c r="H13" t="str">
        <f>Report!H35</f>
        <v>10VI50</v>
      </c>
      <c r="I13" t="str">
        <f>Report!I35</f>
        <v>19AR10</v>
      </c>
    </row>
    <row r="14" spans="1:7" ht="12.75">
      <c r="A14">
        <v>4</v>
      </c>
      <c r="B14" s="2" t="s">
        <v>799</v>
      </c>
      <c r="C14" s="2" t="s">
        <v>877</v>
      </c>
      <c r="D14" t="s">
        <v>5</v>
      </c>
      <c r="E14" t="s">
        <v>10</v>
      </c>
      <c r="F14" t="s">
        <v>12</v>
      </c>
      <c r="G14" t="s">
        <v>14</v>
      </c>
    </row>
    <row r="15" spans="1:7" ht="12.75">
      <c r="A15">
        <v>4</v>
      </c>
      <c r="B15" t="s">
        <v>269</v>
      </c>
      <c r="C15" s="2" t="s">
        <v>878</v>
      </c>
      <c r="D15" t="s">
        <v>5</v>
      </c>
      <c r="E15" t="s">
        <v>10</v>
      </c>
      <c r="F15" t="s">
        <v>12</v>
      </c>
      <c r="G15" t="s">
        <v>14</v>
      </c>
    </row>
    <row r="16" spans="1:7" ht="12.75">
      <c r="A16">
        <v>4</v>
      </c>
      <c r="B16" t="s">
        <v>15</v>
      </c>
      <c r="C16" t="s">
        <v>588</v>
      </c>
      <c r="D16" t="s">
        <v>5</v>
      </c>
      <c r="E16" t="s">
        <v>10</v>
      </c>
      <c r="F16" t="s">
        <v>12</v>
      </c>
      <c r="G16" t="s">
        <v>14</v>
      </c>
    </row>
    <row r="17" spans="1:7" ht="12.75">
      <c r="A17">
        <v>4</v>
      </c>
      <c r="B17" t="s">
        <v>35</v>
      </c>
      <c r="C17" s="2" t="s">
        <v>879</v>
      </c>
      <c r="D17" t="s">
        <v>5</v>
      </c>
      <c r="E17" t="s">
        <v>10</v>
      </c>
      <c r="F17" t="s">
        <v>12</v>
      </c>
      <c r="G17" t="s">
        <v>14</v>
      </c>
    </row>
    <row r="19" spans="1:9" ht="12.75">
      <c r="A19">
        <v>4</v>
      </c>
      <c r="C19" s="2" t="s">
        <v>880</v>
      </c>
      <c r="D19" t="s">
        <v>328</v>
      </c>
      <c r="E19" t="s">
        <v>5</v>
      </c>
      <c r="F19" t="s">
        <v>12</v>
      </c>
      <c r="G19" t="s">
        <v>14</v>
      </c>
      <c r="H19" t="str">
        <f>Report!H36</f>
        <v>19PI56</v>
      </c>
      <c r="I19" t="str">
        <f>Report!I36</f>
        <v>10LI4</v>
      </c>
    </row>
    <row r="20" spans="1:7" ht="12.75">
      <c r="A20">
        <v>4</v>
      </c>
      <c r="B20" s="2" t="s">
        <v>799</v>
      </c>
      <c r="C20" s="2" t="s">
        <v>881</v>
      </c>
      <c r="D20" t="s">
        <v>328</v>
      </c>
      <c r="E20" t="s">
        <v>5</v>
      </c>
      <c r="F20" t="s">
        <v>12</v>
      </c>
      <c r="G20" t="s">
        <v>14</v>
      </c>
    </row>
    <row r="21" spans="1:7" ht="12.75">
      <c r="A21">
        <v>4</v>
      </c>
      <c r="B21" t="s">
        <v>305</v>
      </c>
      <c r="C21" t="s">
        <v>329</v>
      </c>
      <c r="D21" t="s">
        <v>328</v>
      </c>
      <c r="E21" t="s">
        <v>5</v>
      </c>
      <c r="F21" t="s">
        <v>12</v>
      </c>
      <c r="G21" t="s">
        <v>14</v>
      </c>
    </row>
    <row r="22" spans="1:7" ht="12.75">
      <c r="A22">
        <v>4</v>
      </c>
      <c r="B22" t="s">
        <v>15</v>
      </c>
      <c r="C22" t="s">
        <v>589</v>
      </c>
      <c r="D22" t="s">
        <v>328</v>
      </c>
      <c r="E22" t="s">
        <v>5</v>
      </c>
      <c r="F22" t="s">
        <v>12</v>
      </c>
      <c r="G22" t="s">
        <v>14</v>
      </c>
    </row>
    <row r="23" spans="1:7" ht="12.75">
      <c r="A23">
        <v>4</v>
      </c>
      <c r="B23" t="s">
        <v>35</v>
      </c>
      <c r="C23" s="2" t="s">
        <v>128</v>
      </c>
      <c r="D23" t="s">
        <v>328</v>
      </c>
      <c r="E23" t="s">
        <v>5</v>
      </c>
      <c r="F23" t="s">
        <v>12</v>
      </c>
      <c r="G23" t="s">
        <v>14</v>
      </c>
    </row>
    <row r="24" spans="1:7" ht="12.75">
      <c r="A24">
        <v>4</v>
      </c>
      <c r="B24" t="s">
        <v>35</v>
      </c>
      <c r="C24" s="2" t="s">
        <v>888</v>
      </c>
      <c r="D24" t="s">
        <v>83</v>
      </c>
      <c r="E24" t="s">
        <v>5</v>
      </c>
      <c r="F24" t="s">
        <v>12</v>
      </c>
      <c r="G24" t="s">
        <v>14</v>
      </c>
    </row>
    <row r="25" spans="1:7" ht="12.75">
      <c r="A25">
        <v>4</v>
      </c>
      <c r="B25" t="s">
        <v>35</v>
      </c>
      <c r="C25" s="2" t="s">
        <v>889</v>
      </c>
      <c r="D25" t="s">
        <v>6</v>
      </c>
      <c r="E25" t="s">
        <v>5</v>
      </c>
      <c r="F25" t="s">
        <v>12</v>
      </c>
      <c r="G25" t="s">
        <v>14</v>
      </c>
    </row>
    <row r="26" ht="12.75">
      <c r="C26" s="4" t="s">
        <v>86</v>
      </c>
    </row>
    <row r="27" ht="12.75">
      <c r="C27" s="2" t="s">
        <v>887</v>
      </c>
    </row>
    <row r="28" ht="12.75">
      <c r="C28" s="2" t="s">
        <v>884</v>
      </c>
    </row>
    <row r="29" ht="12.75">
      <c r="C29" s="2" t="s">
        <v>885</v>
      </c>
    </row>
    <row r="30" ht="12.75">
      <c r="C30" s="2" t="s">
        <v>886</v>
      </c>
    </row>
    <row r="32" spans="1:9" ht="12.75">
      <c r="A32">
        <v>4</v>
      </c>
      <c r="C32" s="2" t="s">
        <v>890</v>
      </c>
      <c r="D32" t="s">
        <v>5</v>
      </c>
      <c r="E32" t="s">
        <v>8</v>
      </c>
      <c r="F32" t="s">
        <v>12</v>
      </c>
      <c r="G32" t="s">
        <v>13</v>
      </c>
      <c r="H32" t="str">
        <f>Report!H40</f>
        <v>21AQ48</v>
      </c>
      <c r="I32" t="str">
        <f>Report!I40</f>
        <v>8SC12</v>
      </c>
    </row>
    <row r="33" spans="1:7" ht="12.75">
      <c r="A33">
        <v>4</v>
      </c>
      <c r="B33" s="2" t="s">
        <v>799</v>
      </c>
      <c r="C33" s="2" t="s">
        <v>891</v>
      </c>
      <c r="D33" t="s">
        <v>5</v>
      </c>
      <c r="E33" t="s">
        <v>8</v>
      </c>
      <c r="F33" t="s">
        <v>12</v>
      </c>
      <c r="G33" t="s">
        <v>13</v>
      </c>
    </row>
    <row r="34" spans="1:7" ht="12.75">
      <c r="A34">
        <v>4</v>
      </c>
      <c r="B34" t="s">
        <v>305</v>
      </c>
      <c r="C34" t="s">
        <v>330</v>
      </c>
      <c r="D34" t="s">
        <v>5</v>
      </c>
      <c r="E34" t="s">
        <v>8</v>
      </c>
      <c r="F34" t="s">
        <v>12</v>
      </c>
      <c r="G34" t="s">
        <v>13</v>
      </c>
    </row>
    <row r="35" spans="1:7" ht="12.75">
      <c r="A35">
        <v>4</v>
      </c>
      <c r="B35" t="s">
        <v>305</v>
      </c>
      <c r="C35" t="s">
        <v>362</v>
      </c>
      <c r="D35" t="s">
        <v>5</v>
      </c>
      <c r="E35" t="s">
        <v>8</v>
      </c>
      <c r="F35" t="s">
        <v>12</v>
      </c>
      <c r="G35" t="s">
        <v>14</v>
      </c>
    </row>
    <row r="36" spans="1:7" ht="12.75">
      <c r="A36">
        <v>4</v>
      </c>
      <c r="B36" t="s">
        <v>269</v>
      </c>
      <c r="C36" s="2" t="s">
        <v>892</v>
      </c>
      <c r="D36" t="s">
        <v>5</v>
      </c>
      <c r="E36" t="s">
        <v>8</v>
      </c>
      <c r="F36" t="s">
        <v>12</v>
      </c>
      <c r="G36" t="s">
        <v>14</v>
      </c>
    </row>
    <row r="37" spans="1:7" ht="12.75">
      <c r="A37">
        <v>4</v>
      </c>
      <c r="B37" t="s">
        <v>15</v>
      </c>
      <c r="C37" t="s">
        <v>591</v>
      </c>
      <c r="D37" t="s">
        <v>5</v>
      </c>
      <c r="E37" t="s">
        <v>8</v>
      </c>
      <c r="F37" t="s">
        <v>12</v>
      </c>
      <c r="G37" t="s">
        <v>13</v>
      </c>
    </row>
    <row r="38" spans="1:7" ht="12.75">
      <c r="A38">
        <v>4</v>
      </c>
      <c r="B38" t="s">
        <v>35</v>
      </c>
      <c r="C38" s="2" t="s">
        <v>893</v>
      </c>
      <c r="D38" t="s">
        <v>5</v>
      </c>
      <c r="E38" t="s">
        <v>8</v>
      </c>
      <c r="F38" t="s">
        <v>12</v>
      </c>
      <c r="G38" t="s">
        <v>13</v>
      </c>
    </row>
    <row r="40" spans="1:9" ht="12.75">
      <c r="A40">
        <v>4</v>
      </c>
      <c r="C40" s="2" t="s">
        <v>894</v>
      </c>
      <c r="D40" t="s">
        <v>50</v>
      </c>
      <c r="E40" t="s">
        <v>10</v>
      </c>
      <c r="F40" t="s">
        <v>12</v>
      </c>
      <c r="G40" t="s">
        <v>14</v>
      </c>
      <c r="H40" t="str">
        <f>Report!H41</f>
        <v>17SA48</v>
      </c>
      <c r="I40" t="str">
        <f>Report!I41</f>
        <v>12CP12</v>
      </c>
    </row>
    <row r="41" spans="1:7" ht="12.75">
      <c r="A41">
        <v>4</v>
      </c>
      <c r="B41" t="s">
        <v>269</v>
      </c>
      <c r="C41" s="2" t="s">
        <v>895</v>
      </c>
      <c r="D41" t="s">
        <v>50</v>
      </c>
      <c r="E41" t="s">
        <v>10</v>
      </c>
      <c r="F41" t="s">
        <v>12</v>
      </c>
      <c r="G41" t="s">
        <v>14</v>
      </c>
    </row>
    <row r="42" spans="1:7" ht="12.75">
      <c r="A42">
        <v>4</v>
      </c>
      <c r="B42" t="s">
        <v>35</v>
      </c>
      <c r="C42" s="2" t="s">
        <v>896</v>
      </c>
      <c r="D42" t="s">
        <v>50</v>
      </c>
      <c r="E42" t="s">
        <v>10</v>
      </c>
      <c r="F42" t="s">
        <v>12</v>
      </c>
      <c r="G42" t="s">
        <v>14</v>
      </c>
    </row>
    <row r="44" spans="1:9" ht="12.75">
      <c r="A44">
        <v>4</v>
      </c>
      <c r="C44" s="2" t="s">
        <v>897</v>
      </c>
      <c r="D44" t="s">
        <v>7</v>
      </c>
      <c r="E44" t="s">
        <v>5</v>
      </c>
      <c r="F44" t="s">
        <v>12</v>
      </c>
      <c r="G44" t="s">
        <v>13</v>
      </c>
      <c r="H44" t="str">
        <f>Report!H42</f>
        <v>25LE35</v>
      </c>
      <c r="I44" t="str">
        <f>Report!I42</f>
        <v>4TA25</v>
      </c>
    </row>
    <row r="45" spans="1:7" ht="12.75">
      <c r="A45">
        <v>4</v>
      </c>
      <c r="B45" s="2" t="s">
        <v>799</v>
      </c>
      <c r="C45" s="2" t="s">
        <v>898</v>
      </c>
      <c r="D45" t="s">
        <v>7</v>
      </c>
      <c r="E45" t="s">
        <v>5</v>
      </c>
      <c r="F45" t="s">
        <v>12</v>
      </c>
      <c r="G45" t="s">
        <v>13</v>
      </c>
    </row>
    <row r="46" spans="1:7" ht="12.75">
      <c r="A46">
        <v>4</v>
      </c>
      <c r="B46" t="s">
        <v>305</v>
      </c>
      <c r="C46" t="s">
        <v>343</v>
      </c>
      <c r="D46" t="s">
        <v>7</v>
      </c>
      <c r="E46" t="s">
        <v>5</v>
      </c>
      <c r="F46" t="s">
        <v>12</v>
      </c>
      <c r="G46" t="s">
        <v>13</v>
      </c>
    </row>
    <row r="47" spans="1:7" ht="12.75">
      <c r="A47">
        <v>4</v>
      </c>
      <c r="B47" t="s">
        <v>269</v>
      </c>
      <c r="C47" s="2" t="s">
        <v>904</v>
      </c>
      <c r="D47" t="s">
        <v>7</v>
      </c>
      <c r="E47" t="s">
        <v>5</v>
      </c>
      <c r="F47" t="s">
        <v>12</v>
      </c>
      <c r="G47" t="s">
        <v>13</v>
      </c>
    </row>
    <row r="48" spans="1:7" ht="12.75">
      <c r="A48">
        <v>4</v>
      </c>
      <c r="B48" t="s">
        <v>15</v>
      </c>
      <c r="C48" t="s">
        <v>592</v>
      </c>
      <c r="D48" t="s">
        <v>7</v>
      </c>
      <c r="E48" t="s">
        <v>5</v>
      </c>
      <c r="F48" t="s">
        <v>12</v>
      </c>
      <c r="G48" t="s">
        <v>13</v>
      </c>
    </row>
    <row r="49" spans="1:7" ht="12.75">
      <c r="A49">
        <v>4</v>
      </c>
      <c r="B49" t="s">
        <v>35</v>
      </c>
      <c r="C49" s="2" t="s">
        <v>130</v>
      </c>
      <c r="D49" t="s">
        <v>7</v>
      </c>
      <c r="E49" t="s">
        <v>5</v>
      </c>
      <c r="F49" t="s">
        <v>12</v>
      </c>
      <c r="G49" t="s">
        <v>13</v>
      </c>
    </row>
    <row r="51" spans="1:9" ht="12.75">
      <c r="A51">
        <v>4</v>
      </c>
      <c r="C51" s="2" t="s">
        <v>899</v>
      </c>
      <c r="D51" t="s">
        <v>5</v>
      </c>
      <c r="E51" t="s">
        <v>348</v>
      </c>
      <c r="F51" t="s">
        <v>12</v>
      </c>
      <c r="G51" t="s">
        <v>13</v>
      </c>
      <c r="H51" t="str">
        <f>Report!H43</f>
        <v>19PI56</v>
      </c>
      <c r="I51" t="str">
        <f>Report!I43</f>
        <v>10LI4</v>
      </c>
    </row>
    <row r="52" spans="1:7" ht="12.75">
      <c r="A52">
        <v>4</v>
      </c>
      <c r="B52" s="2" t="s">
        <v>799</v>
      </c>
      <c r="C52" s="2" t="s">
        <v>900</v>
      </c>
      <c r="D52" t="s">
        <v>5</v>
      </c>
      <c r="E52" t="s">
        <v>348</v>
      </c>
      <c r="F52" t="s">
        <v>12</v>
      </c>
      <c r="G52" t="s">
        <v>13</v>
      </c>
    </row>
    <row r="53" spans="1:7" ht="12.75">
      <c r="A53">
        <v>4</v>
      </c>
      <c r="B53" t="s">
        <v>269</v>
      </c>
      <c r="C53" s="2" t="s">
        <v>905</v>
      </c>
      <c r="D53" t="s">
        <v>5</v>
      </c>
      <c r="E53" t="s">
        <v>348</v>
      </c>
      <c r="F53" t="s">
        <v>12</v>
      </c>
      <c r="G53" t="s">
        <v>13</v>
      </c>
    </row>
    <row r="54" spans="1:7" ht="12.75">
      <c r="A54">
        <v>4</v>
      </c>
      <c r="B54" t="s">
        <v>15</v>
      </c>
      <c r="C54" t="s">
        <v>594</v>
      </c>
      <c r="D54" t="s">
        <v>5</v>
      </c>
      <c r="E54" t="s">
        <v>348</v>
      </c>
      <c r="F54" t="s">
        <v>12</v>
      </c>
      <c r="G54" t="s">
        <v>13</v>
      </c>
    </row>
    <row r="55" spans="1:7" ht="12.75">
      <c r="A55">
        <v>4</v>
      </c>
      <c r="B55" t="s">
        <v>35</v>
      </c>
      <c r="C55" s="2" t="s">
        <v>903</v>
      </c>
      <c r="D55" t="s">
        <v>5</v>
      </c>
      <c r="E55" t="s">
        <v>348</v>
      </c>
      <c r="F55" t="s">
        <v>12</v>
      </c>
      <c r="G55" t="s">
        <v>13</v>
      </c>
    </row>
    <row r="61" ht="12.75">
      <c r="C61" s="1"/>
    </row>
    <row r="71" ht="12.75">
      <c r="C71" s="1"/>
    </row>
    <row r="73" ht="12.75">
      <c r="C73" s="1"/>
    </row>
    <row r="78" ht="12.75">
      <c r="C78" s="1"/>
    </row>
    <row r="80" ht="12.75">
      <c r="C80" s="1"/>
    </row>
    <row r="85" ht="12.75">
      <c r="C85" s="1"/>
    </row>
    <row r="87" ht="12.75">
      <c r="C87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05"/>
  <sheetViews>
    <sheetView zoomScalePageLayoutView="0" workbookViewId="0" topLeftCell="A33">
      <selection activeCell="C49" sqref="C49"/>
    </sheetView>
  </sheetViews>
  <sheetFormatPr defaultColWidth="9.140625" defaultRowHeight="12.75"/>
  <cols>
    <col min="1" max="1" width="2.140625" style="0" bestFit="1" customWidth="1"/>
    <col min="2" max="2" width="10.28125" style="0" bestFit="1" customWidth="1"/>
    <col min="3" max="3" width="48.57421875" style="0" customWidth="1"/>
    <col min="5" max="5" width="11.140625" style="0" bestFit="1" customWidth="1"/>
    <col min="8" max="8" width="9.57421875" style="0" customWidth="1"/>
  </cols>
  <sheetData>
    <row r="2" ht="12.75">
      <c r="C2" s="6" t="s">
        <v>845</v>
      </c>
    </row>
    <row r="4" spans="1:9" ht="12.75">
      <c r="A4">
        <v>5</v>
      </c>
      <c r="C4" s="2" t="s">
        <v>906</v>
      </c>
      <c r="D4" t="s">
        <v>10</v>
      </c>
      <c r="E4" t="s">
        <v>5</v>
      </c>
      <c r="F4" t="s">
        <v>12</v>
      </c>
      <c r="G4" t="s">
        <v>14</v>
      </c>
      <c r="H4" t="str">
        <f>Report!H45</f>
        <v>18AR40</v>
      </c>
      <c r="I4" t="str">
        <f>Report!I45</f>
        <v>11VI20</v>
      </c>
    </row>
    <row r="5" spans="1:7" ht="12.75">
      <c r="A5">
        <v>5</v>
      </c>
      <c r="B5" s="2" t="s">
        <v>799</v>
      </c>
      <c r="C5" s="2" t="s">
        <v>907</v>
      </c>
      <c r="D5" t="s">
        <v>10</v>
      </c>
      <c r="E5" t="s">
        <v>5</v>
      </c>
      <c r="F5" t="s">
        <v>12</v>
      </c>
      <c r="G5" t="s">
        <v>14</v>
      </c>
    </row>
    <row r="6" spans="1:7" ht="12.75">
      <c r="A6">
        <v>5</v>
      </c>
      <c r="B6" t="s">
        <v>305</v>
      </c>
      <c r="C6" t="s">
        <v>332</v>
      </c>
      <c r="D6" t="s">
        <v>10</v>
      </c>
      <c r="E6" t="s">
        <v>5</v>
      </c>
      <c r="F6" t="s">
        <v>12</v>
      </c>
      <c r="G6" t="s">
        <v>14</v>
      </c>
    </row>
    <row r="7" spans="1:7" ht="12.75">
      <c r="A7">
        <v>5</v>
      </c>
      <c r="B7" t="s">
        <v>269</v>
      </c>
      <c r="C7" s="2" t="s">
        <v>911</v>
      </c>
      <c r="D7" t="s">
        <v>10</v>
      </c>
      <c r="E7" t="s">
        <v>5</v>
      </c>
      <c r="F7" t="s">
        <v>12</v>
      </c>
      <c r="G7" t="s">
        <v>14</v>
      </c>
    </row>
    <row r="8" spans="1:7" ht="12.75">
      <c r="A8">
        <v>5</v>
      </c>
      <c r="B8" t="s">
        <v>15</v>
      </c>
      <c r="C8" t="s">
        <v>503</v>
      </c>
      <c r="D8" t="s">
        <v>10</v>
      </c>
      <c r="E8" t="s">
        <v>5</v>
      </c>
      <c r="F8" t="s">
        <v>12</v>
      </c>
      <c r="G8" t="s">
        <v>14</v>
      </c>
    </row>
    <row r="9" spans="1:7" ht="12.75">
      <c r="A9">
        <v>5</v>
      </c>
      <c r="B9" t="s">
        <v>61</v>
      </c>
      <c r="C9" s="2" t="s">
        <v>431</v>
      </c>
      <c r="D9" t="s">
        <v>10</v>
      </c>
      <c r="E9" t="s">
        <v>5</v>
      </c>
      <c r="F9" t="s">
        <v>12</v>
      </c>
      <c r="G9" t="s">
        <v>14</v>
      </c>
    </row>
    <row r="10" spans="1:7" ht="12.75">
      <c r="A10">
        <v>5</v>
      </c>
      <c r="B10" t="s">
        <v>35</v>
      </c>
      <c r="C10" s="2" t="s">
        <v>431</v>
      </c>
      <c r="D10" t="s">
        <v>10</v>
      </c>
      <c r="E10" t="s">
        <v>5</v>
      </c>
      <c r="F10" t="s">
        <v>12</v>
      </c>
      <c r="G10" t="s">
        <v>14</v>
      </c>
    </row>
    <row r="12" spans="1:9" ht="12.75">
      <c r="A12">
        <v>5</v>
      </c>
      <c r="C12" s="2" t="s">
        <v>908</v>
      </c>
      <c r="D12" t="s">
        <v>9</v>
      </c>
      <c r="E12" t="s">
        <v>10</v>
      </c>
      <c r="F12" t="s">
        <v>12</v>
      </c>
      <c r="G12" t="s">
        <v>13</v>
      </c>
      <c r="H12" t="str">
        <f>Report!H46</f>
        <v>26TA20</v>
      </c>
      <c r="I12" t="str">
        <f>Report!I46</f>
        <v>3LE40</v>
      </c>
    </row>
    <row r="13" spans="1:7" ht="12.75">
      <c r="A13">
        <v>5</v>
      </c>
      <c r="B13" s="2" t="s">
        <v>799</v>
      </c>
      <c r="C13" s="2" t="s">
        <v>909</v>
      </c>
      <c r="D13" t="s">
        <v>9</v>
      </c>
      <c r="E13" t="s">
        <v>10</v>
      </c>
      <c r="F13" t="s">
        <v>12</v>
      </c>
      <c r="G13" t="s">
        <v>13</v>
      </c>
    </row>
    <row r="14" spans="1:7" ht="12.75">
      <c r="A14">
        <v>5</v>
      </c>
      <c r="B14" t="s">
        <v>305</v>
      </c>
      <c r="C14" t="s">
        <v>334</v>
      </c>
      <c r="D14" t="s">
        <v>9</v>
      </c>
      <c r="E14" t="s">
        <v>10</v>
      </c>
      <c r="F14" t="s">
        <v>12</v>
      </c>
      <c r="G14" t="s">
        <v>13</v>
      </c>
    </row>
    <row r="15" spans="1:7" ht="12.75">
      <c r="A15">
        <v>5</v>
      </c>
      <c r="B15" t="s">
        <v>269</v>
      </c>
      <c r="C15" s="2" t="s">
        <v>912</v>
      </c>
      <c r="D15" t="s">
        <v>9</v>
      </c>
      <c r="E15" t="s">
        <v>10</v>
      </c>
      <c r="F15" t="s">
        <v>12</v>
      </c>
      <c r="G15" t="s">
        <v>13</v>
      </c>
    </row>
    <row r="16" spans="1:7" ht="12.75">
      <c r="A16">
        <v>5</v>
      </c>
      <c r="B16" t="s">
        <v>15</v>
      </c>
      <c r="C16" t="s">
        <v>499</v>
      </c>
      <c r="D16" t="s">
        <v>9</v>
      </c>
      <c r="E16" t="s">
        <v>10</v>
      </c>
      <c r="F16" t="s">
        <v>12</v>
      </c>
      <c r="G16" t="s">
        <v>13</v>
      </c>
    </row>
    <row r="17" spans="1:7" ht="12.75">
      <c r="A17">
        <v>5</v>
      </c>
      <c r="B17" t="s">
        <v>61</v>
      </c>
      <c r="C17" s="2" t="s">
        <v>910</v>
      </c>
      <c r="D17" t="s">
        <v>9</v>
      </c>
      <c r="E17" t="s">
        <v>10</v>
      </c>
      <c r="F17" t="s">
        <v>12</v>
      </c>
      <c r="G17" t="s">
        <v>13</v>
      </c>
    </row>
    <row r="18" spans="1:7" ht="12.75">
      <c r="A18">
        <v>5</v>
      </c>
      <c r="B18" t="s">
        <v>35</v>
      </c>
      <c r="C18" s="2" t="s">
        <v>913</v>
      </c>
      <c r="D18" t="s">
        <v>9</v>
      </c>
      <c r="E18" t="s">
        <v>10</v>
      </c>
      <c r="F18" t="s">
        <v>12</v>
      </c>
      <c r="G18" t="s">
        <v>13</v>
      </c>
    </row>
    <row r="20" spans="1:9" ht="12.75">
      <c r="A20">
        <v>5</v>
      </c>
      <c r="C20" s="2" t="s">
        <v>914</v>
      </c>
      <c r="D20" t="s">
        <v>8</v>
      </c>
      <c r="E20" t="s">
        <v>10</v>
      </c>
      <c r="F20" t="s">
        <v>12</v>
      </c>
      <c r="G20" t="s">
        <v>13</v>
      </c>
      <c r="H20" t="str">
        <f>Report!H47</f>
        <v>26AQ37</v>
      </c>
      <c r="I20" t="str">
        <f>Report!I47</f>
        <v>3SC23</v>
      </c>
    </row>
    <row r="21" spans="1:7" ht="12.75">
      <c r="A21">
        <v>5</v>
      </c>
      <c r="B21" s="2" t="s">
        <v>799</v>
      </c>
      <c r="C21" s="2" t="s">
        <v>915</v>
      </c>
      <c r="D21" t="s">
        <v>8</v>
      </c>
      <c r="E21" t="s">
        <v>10</v>
      </c>
      <c r="F21" t="s">
        <v>12</v>
      </c>
      <c r="G21" t="s">
        <v>13</v>
      </c>
    </row>
    <row r="22" spans="1:7" ht="12.75">
      <c r="A22">
        <v>5</v>
      </c>
      <c r="B22" t="s">
        <v>305</v>
      </c>
      <c r="C22" t="s">
        <v>335</v>
      </c>
      <c r="D22" t="s">
        <v>8</v>
      </c>
      <c r="E22" t="s">
        <v>10</v>
      </c>
      <c r="F22" t="s">
        <v>12</v>
      </c>
      <c r="G22" t="s">
        <v>13</v>
      </c>
    </row>
    <row r="23" spans="1:7" ht="12.75">
      <c r="A23">
        <v>5</v>
      </c>
      <c r="B23" t="s">
        <v>269</v>
      </c>
      <c r="C23" s="2" t="s">
        <v>916</v>
      </c>
      <c r="D23" t="s">
        <v>9</v>
      </c>
      <c r="E23" t="s">
        <v>10</v>
      </c>
      <c r="F23" t="s">
        <v>12</v>
      </c>
      <c r="G23" t="s">
        <v>13</v>
      </c>
    </row>
    <row r="24" spans="1:7" ht="12.75">
      <c r="A24">
        <v>5</v>
      </c>
      <c r="B24" t="s">
        <v>15</v>
      </c>
      <c r="C24" t="s">
        <v>500</v>
      </c>
      <c r="D24" t="s">
        <v>8</v>
      </c>
      <c r="E24" t="s">
        <v>10</v>
      </c>
      <c r="F24" t="s">
        <v>12</v>
      </c>
      <c r="G24" t="s">
        <v>13</v>
      </c>
    </row>
    <row r="25" spans="1:7" ht="12.75">
      <c r="A25">
        <v>5</v>
      </c>
      <c r="B25" t="s">
        <v>35</v>
      </c>
      <c r="C25" s="2" t="s">
        <v>917</v>
      </c>
      <c r="D25" t="s">
        <v>8</v>
      </c>
      <c r="E25" t="s">
        <v>10</v>
      </c>
      <c r="F25" t="s">
        <v>12</v>
      </c>
      <c r="G25" t="s">
        <v>13</v>
      </c>
    </row>
    <row r="26" ht="12.75">
      <c r="C26" s="2" t="s">
        <v>919</v>
      </c>
    </row>
    <row r="27" ht="12.75">
      <c r="C27" s="2" t="s">
        <v>918</v>
      </c>
    </row>
    <row r="29" spans="1:9" ht="12.75">
      <c r="A29">
        <v>5</v>
      </c>
      <c r="C29" s="2" t="s">
        <v>920</v>
      </c>
      <c r="D29" t="s">
        <v>8</v>
      </c>
      <c r="E29" t="s">
        <v>7</v>
      </c>
      <c r="F29" t="s">
        <v>12</v>
      </c>
      <c r="G29" t="s">
        <v>13</v>
      </c>
      <c r="H29" t="str">
        <f>Report!H48</f>
        <v>11PI52</v>
      </c>
      <c r="I29" t="str">
        <f>Report!I48</f>
        <v>18LI8</v>
      </c>
    </row>
    <row r="30" spans="1:7" ht="12.75">
      <c r="A30">
        <v>5</v>
      </c>
      <c r="B30" s="2" t="s">
        <v>799</v>
      </c>
      <c r="C30" s="2" t="s">
        <v>921</v>
      </c>
      <c r="D30" t="s">
        <v>8</v>
      </c>
      <c r="E30" t="s">
        <v>7</v>
      </c>
      <c r="F30" t="s">
        <v>12</v>
      </c>
      <c r="G30" t="s">
        <v>13</v>
      </c>
    </row>
    <row r="31" spans="1:7" ht="12.75">
      <c r="A31">
        <v>5</v>
      </c>
      <c r="B31" t="s">
        <v>305</v>
      </c>
      <c r="C31" t="s">
        <v>336</v>
      </c>
      <c r="D31" t="s">
        <v>8</v>
      </c>
      <c r="E31" t="s">
        <v>7</v>
      </c>
      <c r="F31" t="s">
        <v>12</v>
      </c>
      <c r="G31" t="s">
        <v>13</v>
      </c>
    </row>
    <row r="32" spans="1:7" ht="12.75">
      <c r="A32">
        <v>5</v>
      </c>
      <c r="B32" t="s">
        <v>269</v>
      </c>
      <c r="C32" s="2" t="s">
        <v>925</v>
      </c>
      <c r="D32" t="s">
        <v>8</v>
      </c>
      <c r="E32" t="s">
        <v>7</v>
      </c>
      <c r="F32" t="s">
        <v>12</v>
      </c>
      <c r="G32" t="s">
        <v>13</v>
      </c>
    </row>
    <row r="33" spans="1:7" ht="12.75">
      <c r="A33">
        <v>5</v>
      </c>
      <c r="B33" t="s">
        <v>15</v>
      </c>
      <c r="C33" t="s">
        <v>501</v>
      </c>
      <c r="D33" t="s">
        <v>8</v>
      </c>
      <c r="E33" t="s">
        <v>7</v>
      </c>
      <c r="F33" t="s">
        <v>12</v>
      </c>
      <c r="G33" t="s">
        <v>13</v>
      </c>
    </row>
    <row r="34" spans="1:7" ht="12.75">
      <c r="A34">
        <v>5</v>
      </c>
      <c r="B34" t="s">
        <v>35</v>
      </c>
      <c r="C34" s="2" t="s">
        <v>926</v>
      </c>
      <c r="D34" t="s">
        <v>8</v>
      </c>
      <c r="E34" t="s">
        <v>7</v>
      </c>
      <c r="F34" t="s">
        <v>12</v>
      </c>
      <c r="G34" t="s">
        <v>13</v>
      </c>
    </row>
    <row r="36" spans="1:9" ht="12.75">
      <c r="A36">
        <v>5</v>
      </c>
      <c r="C36" s="2" t="s">
        <v>927</v>
      </c>
      <c r="D36" t="s">
        <v>337</v>
      </c>
      <c r="E36" s="2" t="s">
        <v>8</v>
      </c>
      <c r="F36" t="s">
        <v>12</v>
      </c>
      <c r="G36" t="s">
        <v>14</v>
      </c>
      <c r="H36" t="str">
        <f>Report!H49</f>
        <v>7SC42</v>
      </c>
      <c r="I36" t="str">
        <f>Report!I49</f>
        <v>22AQ18</v>
      </c>
    </row>
    <row r="37" spans="1:7" ht="12.75">
      <c r="A37">
        <v>5</v>
      </c>
      <c r="B37" s="2" t="s">
        <v>799</v>
      </c>
      <c r="C37" s="2" t="s">
        <v>924</v>
      </c>
      <c r="D37" t="s">
        <v>337</v>
      </c>
      <c r="E37" s="2" t="s">
        <v>8</v>
      </c>
      <c r="F37" t="s">
        <v>12</v>
      </c>
      <c r="G37" t="s">
        <v>14</v>
      </c>
    </row>
    <row r="38" spans="1:7" ht="12.75">
      <c r="A38">
        <v>5</v>
      </c>
      <c r="B38" t="s">
        <v>305</v>
      </c>
      <c r="C38" t="s">
        <v>468</v>
      </c>
      <c r="D38" t="s">
        <v>337</v>
      </c>
      <c r="E38" t="s">
        <v>8</v>
      </c>
      <c r="F38" t="s">
        <v>12</v>
      </c>
      <c r="G38" t="s">
        <v>14</v>
      </c>
    </row>
    <row r="39" spans="1:7" ht="12.75">
      <c r="A39">
        <v>5</v>
      </c>
      <c r="B39" t="s">
        <v>269</v>
      </c>
      <c r="C39" s="2" t="s">
        <v>929</v>
      </c>
      <c r="D39" t="s">
        <v>8</v>
      </c>
      <c r="E39" t="s">
        <v>337</v>
      </c>
      <c r="F39" t="s">
        <v>12</v>
      </c>
      <c r="G39" t="s">
        <v>14</v>
      </c>
    </row>
    <row r="40" spans="1:7" ht="12.75">
      <c r="A40">
        <v>5</v>
      </c>
      <c r="B40" t="s">
        <v>15</v>
      </c>
      <c r="C40" t="s">
        <v>502</v>
      </c>
      <c r="D40" t="s">
        <v>328</v>
      </c>
      <c r="E40" t="s">
        <v>8</v>
      </c>
      <c r="F40" t="s">
        <v>12</v>
      </c>
      <c r="G40" t="s">
        <v>403</v>
      </c>
    </row>
    <row r="41" spans="1:7" ht="12.75">
      <c r="A41">
        <v>5</v>
      </c>
      <c r="B41" t="s">
        <v>35</v>
      </c>
      <c r="C41" t="s">
        <v>99</v>
      </c>
      <c r="D41" t="s">
        <v>337</v>
      </c>
      <c r="E41" t="s">
        <v>328</v>
      </c>
      <c r="F41" t="s">
        <v>12</v>
      </c>
      <c r="G41" t="s">
        <v>14</v>
      </c>
    </row>
    <row r="42" ht="12.75">
      <c r="C42" s="2" t="s">
        <v>923</v>
      </c>
    </row>
    <row r="44" ht="12.75">
      <c r="C44" s="6" t="s">
        <v>1174</v>
      </c>
    </row>
    <row r="46" spans="1:3" ht="12.75">
      <c r="A46">
        <v>5</v>
      </c>
      <c r="C46" s="2" t="s">
        <v>930</v>
      </c>
    </row>
    <row r="47" spans="1:7" ht="12.75">
      <c r="A47">
        <v>5</v>
      </c>
      <c r="B47" s="2" t="s">
        <v>799</v>
      </c>
      <c r="C47" s="2" t="s">
        <v>932</v>
      </c>
      <c r="D47" t="s">
        <v>7</v>
      </c>
      <c r="E47" t="s">
        <v>5</v>
      </c>
      <c r="F47" t="s">
        <v>12</v>
      </c>
      <c r="G47" t="s">
        <v>13</v>
      </c>
    </row>
    <row r="48" ht="12.75">
      <c r="C48" s="2" t="s">
        <v>931</v>
      </c>
    </row>
    <row r="49" ht="12.75">
      <c r="C49" s="2"/>
    </row>
    <row r="60" ht="12.75">
      <c r="C60" s="1"/>
    </row>
    <row r="67" ht="12.75">
      <c r="C67" s="1"/>
    </row>
    <row r="79" ht="12.75">
      <c r="C79" s="1"/>
    </row>
    <row r="89" ht="12.75">
      <c r="C89" s="1"/>
    </row>
    <row r="91" ht="12.75">
      <c r="C91" s="1"/>
    </row>
    <row r="96" ht="12.75">
      <c r="C96" s="1"/>
    </row>
    <row r="98" ht="12.75">
      <c r="C98" s="1"/>
    </row>
    <row r="103" ht="12.75">
      <c r="C103" s="1"/>
    </row>
    <row r="105" ht="12.75">
      <c r="C105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9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.00390625" style="0" customWidth="1"/>
    <col min="2" max="2" width="10.28125" style="0" bestFit="1" customWidth="1"/>
    <col min="3" max="3" width="56.00390625" style="0" customWidth="1"/>
    <col min="4" max="4" width="13.421875" style="0" bestFit="1" customWidth="1"/>
    <col min="5" max="5" width="13.8515625" style="0" customWidth="1"/>
    <col min="8" max="8" width="9.57421875" style="0" customWidth="1"/>
  </cols>
  <sheetData>
    <row r="2" ht="12.75">
      <c r="C2" s="6" t="s">
        <v>846</v>
      </c>
    </row>
    <row r="4" spans="1:9" ht="12.75">
      <c r="A4">
        <v>6</v>
      </c>
      <c r="C4" s="2" t="s">
        <v>933</v>
      </c>
      <c r="D4" t="s">
        <v>5</v>
      </c>
      <c r="E4" t="s">
        <v>9</v>
      </c>
      <c r="F4" t="s">
        <v>12</v>
      </c>
      <c r="G4" t="s">
        <v>14</v>
      </c>
      <c r="H4" t="str">
        <f>Report!H51</f>
        <v>7AQ25</v>
      </c>
      <c r="I4" t="str">
        <f>Report!I51</f>
        <v>22SC35</v>
      </c>
    </row>
    <row r="5" spans="1:7" ht="12.75">
      <c r="A5">
        <v>6</v>
      </c>
      <c r="B5" s="2" t="s">
        <v>799</v>
      </c>
      <c r="C5" s="2" t="s">
        <v>934</v>
      </c>
      <c r="D5" t="s">
        <v>5</v>
      </c>
      <c r="E5" t="s">
        <v>9</v>
      </c>
      <c r="F5" t="s">
        <v>12</v>
      </c>
      <c r="G5" t="s">
        <v>14</v>
      </c>
    </row>
    <row r="6" spans="1:7" ht="12.75">
      <c r="A6">
        <v>6</v>
      </c>
      <c r="B6" t="s">
        <v>305</v>
      </c>
      <c r="C6" t="s">
        <v>338</v>
      </c>
      <c r="D6" t="s">
        <v>5</v>
      </c>
      <c r="E6" t="s">
        <v>9</v>
      </c>
      <c r="F6" t="s">
        <v>12</v>
      </c>
      <c r="G6" t="s">
        <v>14</v>
      </c>
    </row>
    <row r="7" spans="1:7" ht="12.75">
      <c r="A7">
        <v>6</v>
      </c>
      <c r="B7" t="s">
        <v>269</v>
      </c>
      <c r="C7" s="2" t="s">
        <v>937</v>
      </c>
      <c r="D7" t="s">
        <v>5</v>
      </c>
      <c r="E7" t="s">
        <v>9</v>
      </c>
      <c r="F7" t="s">
        <v>12</v>
      </c>
      <c r="G7" t="s">
        <v>14</v>
      </c>
    </row>
    <row r="8" spans="1:7" ht="12.75">
      <c r="A8">
        <v>6</v>
      </c>
      <c r="B8" t="s">
        <v>15</v>
      </c>
      <c r="C8" t="s">
        <v>469</v>
      </c>
      <c r="D8" t="s">
        <v>5</v>
      </c>
      <c r="E8" t="s">
        <v>9</v>
      </c>
      <c r="F8" t="s">
        <v>12</v>
      </c>
      <c r="G8" t="s">
        <v>14</v>
      </c>
    </row>
    <row r="9" spans="1:7" ht="12.75">
      <c r="A9">
        <v>6</v>
      </c>
      <c r="B9" t="s">
        <v>61</v>
      </c>
      <c r="C9" t="s">
        <v>472</v>
      </c>
      <c r="D9" t="s">
        <v>5</v>
      </c>
      <c r="E9" t="s">
        <v>9</v>
      </c>
      <c r="F9" t="s">
        <v>12</v>
      </c>
      <c r="G9" t="s">
        <v>14</v>
      </c>
    </row>
    <row r="10" spans="1:7" ht="12.75">
      <c r="A10">
        <v>6</v>
      </c>
      <c r="B10" t="s">
        <v>35</v>
      </c>
      <c r="C10" s="2" t="s">
        <v>938</v>
      </c>
      <c r="D10" t="s">
        <v>5</v>
      </c>
      <c r="E10" t="s">
        <v>9</v>
      </c>
      <c r="F10" t="s">
        <v>12</v>
      </c>
      <c r="G10" t="s">
        <v>14</v>
      </c>
    </row>
    <row r="12" spans="1:9" ht="12.75">
      <c r="A12">
        <v>6</v>
      </c>
      <c r="C12" s="2" t="s">
        <v>949</v>
      </c>
      <c r="D12" t="s">
        <v>50</v>
      </c>
      <c r="E12" t="s">
        <v>9</v>
      </c>
      <c r="F12" t="s">
        <v>12</v>
      </c>
      <c r="G12" t="s">
        <v>13</v>
      </c>
      <c r="H12" t="str">
        <f>Report!H52</f>
        <v>15LE7</v>
      </c>
      <c r="I12" t="str">
        <f>Report!I52</f>
        <v>14TA53</v>
      </c>
    </row>
    <row r="13" spans="1:7" ht="12.75">
      <c r="A13">
        <v>6</v>
      </c>
      <c r="B13" t="s">
        <v>269</v>
      </c>
      <c r="C13" s="2" t="s">
        <v>939</v>
      </c>
      <c r="D13" t="s">
        <v>50</v>
      </c>
      <c r="E13" t="s">
        <v>9</v>
      </c>
      <c r="F13" t="s">
        <v>12</v>
      </c>
      <c r="G13" t="s">
        <v>13</v>
      </c>
    </row>
    <row r="14" spans="1:7" ht="12.75">
      <c r="A14">
        <v>6</v>
      </c>
      <c r="B14" t="s">
        <v>35</v>
      </c>
      <c r="C14" s="2" t="s">
        <v>940</v>
      </c>
      <c r="D14" t="s">
        <v>50</v>
      </c>
      <c r="E14" t="s">
        <v>9</v>
      </c>
      <c r="F14" t="s">
        <v>12</v>
      </c>
      <c r="G14" t="s">
        <v>13</v>
      </c>
    </row>
    <row r="15" ht="12.75">
      <c r="C15" s="2" t="s">
        <v>935</v>
      </c>
    </row>
    <row r="16" ht="12.75">
      <c r="C16" s="2"/>
    </row>
    <row r="17" spans="1:9" ht="12.75">
      <c r="A17">
        <v>6</v>
      </c>
      <c r="C17" s="2" t="s">
        <v>948</v>
      </c>
      <c r="D17" t="s">
        <v>50</v>
      </c>
      <c r="E17" t="s">
        <v>8</v>
      </c>
      <c r="F17" t="s">
        <v>12</v>
      </c>
      <c r="G17" t="s">
        <v>14</v>
      </c>
      <c r="H17" t="str">
        <f>Report!H53</f>
        <v>14AQ40</v>
      </c>
      <c r="I17" t="str">
        <f>Report!I53</f>
        <v>15SC20</v>
      </c>
    </row>
    <row r="18" spans="1:7" ht="12.75">
      <c r="A18">
        <v>6</v>
      </c>
      <c r="B18" s="2" t="s">
        <v>799</v>
      </c>
      <c r="C18" s="2" t="s">
        <v>1176</v>
      </c>
      <c r="D18" t="s">
        <v>50</v>
      </c>
      <c r="E18" t="s">
        <v>8</v>
      </c>
      <c r="F18" t="s">
        <v>12</v>
      </c>
      <c r="G18" t="s">
        <v>14</v>
      </c>
    </row>
    <row r="19" spans="1:7" ht="12.75">
      <c r="A19">
        <v>6</v>
      </c>
      <c r="B19" t="s">
        <v>305</v>
      </c>
      <c r="C19" t="s">
        <v>339</v>
      </c>
      <c r="D19" t="s">
        <v>50</v>
      </c>
      <c r="E19" t="s">
        <v>8</v>
      </c>
      <c r="F19" t="s">
        <v>12</v>
      </c>
      <c r="G19" t="s">
        <v>13</v>
      </c>
    </row>
    <row r="20" spans="1:7" ht="12.75">
      <c r="A20">
        <v>6</v>
      </c>
      <c r="B20" t="s">
        <v>269</v>
      </c>
      <c r="C20" s="2" t="s">
        <v>451</v>
      </c>
      <c r="D20" t="s">
        <v>50</v>
      </c>
      <c r="E20" t="s">
        <v>8</v>
      </c>
      <c r="F20" t="s">
        <v>12</v>
      </c>
      <c r="G20" t="s">
        <v>13</v>
      </c>
    </row>
    <row r="21" spans="1:7" ht="12.75">
      <c r="A21">
        <v>6</v>
      </c>
      <c r="B21" t="s">
        <v>15</v>
      </c>
      <c r="C21" t="s">
        <v>451</v>
      </c>
      <c r="D21" t="s">
        <v>50</v>
      </c>
      <c r="E21" t="s">
        <v>8</v>
      </c>
      <c r="F21" t="s">
        <v>12</v>
      </c>
      <c r="G21" t="s">
        <v>13</v>
      </c>
    </row>
    <row r="22" spans="1:7" ht="12.75">
      <c r="A22">
        <v>6</v>
      </c>
      <c r="B22" t="s">
        <v>61</v>
      </c>
      <c r="C22" s="2" t="s">
        <v>941</v>
      </c>
      <c r="D22" t="s">
        <v>50</v>
      </c>
      <c r="E22" t="s">
        <v>8</v>
      </c>
      <c r="F22" t="s">
        <v>12</v>
      </c>
      <c r="G22" t="s">
        <v>14</v>
      </c>
    </row>
    <row r="23" spans="1:7" ht="12.75">
      <c r="A23">
        <v>6</v>
      </c>
      <c r="B23" t="s">
        <v>35</v>
      </c>
      <c r="C23" s="2" t="s">
        <v>942</v>
      </c>
      <c r="D23" t="s">
        <v>50</v>
      </c>
      <c r="E23" t="s">
        <v>8</v>
      </c>
      <c r="F23" t="s">
        <v>12</v>
      </c>
      <c r="G23" t="s">
        <v>14</v>
      </c>
    </row>
    <row r="24" spans="1:7" ht="12.75">
      <c r="A24">
        <v>6</v>
      </c>
      <c r="B24" t="s">
        <v>35</v>
      </c>
      <c r="C24" s="2" t="s">
        <v>943</v>
      </c>
      <c r="D24" t="s">
        <v>50</v>
      </c>
      <c r="E24" t="s">
        <v>8</v>
      </c>
      <c r="F24" t="s">
        <v>12</v>
      </c>
      <c r="G24" t="s">
        <v>13</v>
      </c>
    </row>
    <row r="25" spans="1:7" s="2" customFormat="1" ht="12.75">
      <c r="A25" s="2">
        <v>6</v>
      </c>
      <c r="B25" s="2" t="s">
        <v>698</v>
      </c>
      <c r="C25" s="2" t="s">
        <v>672</v>
      </c>
      <c r="D25" s="2" t="s">
        <v>50</v>
      </c>
      <c r="E25" s="2" t="s">
        <v>415</v>
      </c>
      <c r="F25" s="2" t="s">
        <v>12</v>
      </c>
      <c r="G25" s="2" t="s">
        <v>14</v>
      </c>
    </row>
    <row r="26" s="2" customFormat="1" ht="12.75">
      <c r="C26" s="2" t="s">
        <v>936</v>
      </c>
    </row>
    <row r="28" spans="1:9" ht="12.75">
      <c r="A28">
        <v>6</v>
      </c>
      <c r="C28" s="2" t="s">
        <v>947</v>
      </c>
      <c r="D28" s="2" t="s">
        <v>116</v>
      </c>
      <c r="E28" s="2" t="s">
        <v>641</v>
      </c>
      <c r="F28" t="s">
        <v>12</v>
      </c>
      <c r="G28" t="s">
        <v>13</v>
      </c>
      <c r="H28" t="str">
        <f>Report!H54</f>
        <v>21AQ48</v>
      </c>
      <c r="I28" t="str">
        <f>Report!I54</f>
        <v>8SC12</v>
      </c>
    </row>
    <row r="29" spans="1:7" ht="12.75">
      <c r="A29">
        <v>6</v>
      </c>
      <c r="B29" t="s">
        <v>269</v>
      </c>
      <c r="C29" s="2" t="s">
        <v>132</v>
      </c>
      <c r="D29" t="s">
        <v>65</v>
      </c>
      <c r="E29" s="2" t="s">
        <v>116</v>
      </c>
      <c r="F29" t="s">
        <v>12</v>
      </c>
      <c r="G29" t="s">
        <v>13</v>
      </c>
    </row>
    <row r="30" spans="1:7" ht="12.75">
      <c r="A30">
        <v>6</v>
      </c>
      <c r="B30" t="s">
        <v>15</v>
      </c>
      <c r="C30" t="s">
        <v>470</v>
      </c>
      <c r="D30" t="s">
        <v>328</v>
      </c>
      <c r="E30" t="s">
        <v>6</v>
      </c>
      <c r="F30" t="s">
        <v>12</v>
      </c>
      <c r="G30" t="s">
        <v>13</v>
      </c>
    </row>
    <row r="31" spans="1:7" ht="12.75">
      <c r="A31">
        <v>6</v>
      </c>
      <c r="B31" t="s">
        <v>15</v>
      </c>
      <c r="C31" t="s">
        <v>471</v>
      </c>
      <c r="D31" t="s">
        <v>337</v>
      </c>
      <c r="E31" t="s">
        <v>8</v>
      </c>
      <c r="F31" t="s">
        <v>12</v>
      </c>
      <c r="G31" t="s">
        <v>13</v>
      </c>
    </row>
    <row r="32" spans="1:7" ht="12.75">
      <c r="A32">
        <v>6</v>
      </c>
      <c r="B32" t="s">
        <v>35</v>
      </c>
      <c r="C32" s="2" t="s">
        <v>945</v>
      </c>
      <c r="D32" t="s">
        <v>328</v>
      </c>
      <c r="E32" t="s">
        <v>6</v>
      </c>
      <c r="F32" t="s">
        <v>12</v>
      </c>
      <c r="G32" t="s">
        <v>13</v>
      </c>
    </row>
    <row r="33" spans="1:7" ht="12.75">
      <c r="A33">
        <v>6</v>
      </c>
      <c r="B33" t="s">
        <v>35</v>
      </c>
      <c r="C33" s="2" t="s">
        <v>946</v>
      </c>
      <c r="D33" t="s">
        <v>337</v>
      </c>
      <c r="E33" t="s">
        <v>8</v>
      </c>
      <c r="F33" t="s">
        <v>12</v>
      </c>
      <c r="G33" t="s">
        <v>13</v>
      </c>
    </row>
    <row r="49" ht="12.75">
      <c r="C49" s="1"/>
    </row>
    <row r="56" ht="12.75">
      <c r="C56" s="1"/>
    </row>
    <row r="68" ht="12.75">
      <c r="C68" s="1"/>
    </row>
    <row r="78" ht="12.75">
      <c r="C78" s="1"/>
    </row>
    <row r="80" ht="12.75">
      <c r="C80" s="1"/>
    </row>
    <row r="85" ht="12.75">
      <c r="C85" s="1"/>
    </row>
    <row r="87" ht="12.75">
      <c r="C87" s="1"/>
    </row>
    <row r="92" ht="12.75">
      <c r="C92" s="1"/>
    </row>
    <row r="94" ht="12.75">
      <c r="C94" s="1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2011-11-01T20:58:34Z</cp:lastPrinted>
  <dcterms:created xsi:type="dcterms:W3CDTF">2004-02-25T19:01:41Z</dcterms:created>
  <dcterms:modified xsi:type="dcterms:W3CDTF">2011-11-01T20:58:50Z</dcterms:modified>
  <cp:category/>
  <cp:version/>
  <cp:contentType/>
  <cp:contentStatus/>
</cp:coreProperties>
</file>